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0" windowWidth="19440" windowHeight="12075"/>
  </bookViews>
  <sheets>
    <sheet name="BAT, NH3, slagtesvin+smågrise, " sheetId="2" r:id="rId1"/>
    <sheet name="Generel NH3, slagtesvin+smågri" sheetId="6" r:id="rId2"/>
    <sheet name="BAT, NH3, søer" sheetId="4" r:id="rId3"/>
    <sheet name="generelle, NH3, søer " sheetId="7" r:id="rId4"/>
    <sheet name="BAT for fosfor" sheetId="3" r:id="rId5"/>
    <sheet name="forklaring, vægtkorrektion, BAT" sheetId="1" r:id="rId6"/>
    <sheet name="NH3 2005-06 norm reference" sheetId="8" r:id="rId7"/>
    <sheet name="Ark2" sheetId="11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21" i="8" l="1"/>
  <c r="G21" i="8" s="1"/>
  <c r="H21" i="8" s="1"/>
  <c r="I21" i="8" s="1"/>
  <c r="C21" i="8"/>
  <c r="E21" i="8" s="1"/>
  <c r="F20" i="8"/>
  <c r="C20" i="8"/>
  <c r="A17" i="8"/>
  <c r="F11" i="8"/>
  <c r="K17" i="8"/>
  <c r="C17" i="8"/>
  <c r="D21" i="8" l="1"/>
  <c r="J11" i="8"/>
  <c r="E17" i="8"/>
  <c r="D17" i="8"/>
  <c r="G17" i="8"/>
  <c r="I17" i="8"/>
  <c r="J17" i="8"/>
  <c r="D20" i="8"/>
  <c r="G20" i="8"/>
  <c r="H20" i="8" s="1"/>
  <c r="I20" i="8" s="1"/>
  <c r="F9" i="8"/>
  <c r="F12" i="8" s="1"/>
  <c r="F13" i="8" s="1"/>
  <c r="F23" i="8" s="1"/>
  <c r="G23" i="8" s="1"/>
  <c r="H23" i="8" s="1"/>
  <c r="I23" i="8" s="1"/>
  <c r="J10" i="8"/>
  <c r="C9" i="8"/>
  <c r="C11" i="8"/>
  <c r="F17" i="8"/>
  <c r="H17" i="8"/>
  <c r="E20" i="8"/>
  <c r="D9" i="4"/>
  <c r="D28" i="2"/>
  <c r="D7" i="2"/>
  <c r="C12" i="8" l="1"/>
  <c r="C13" i="8" s="1"/>
  <c r="C23" i="8" s="1"/>
  <c r="D23" i="8" s="1"/>
  <c r="E23" i="8" s="1"/>
  <c r="N22" i="8"/>
  <c r="L22" i="8"/>
  <c r="K22" i="8"/>
  <c r="J12" i="8"/>
  <c r="J13" i="8" s="1"/>
  <c r="M22" i="8"/>
  <c r="J22" i="8"/>
  <c r="N17" i="8"/>
  <c r="L17" i="8"/>
  <c r="M17" i="8"/>
  <c r="C22" i="8"/>
  <c r="F22" i="8"/>
  <c r="E37" i="7"/>
  <c r="F37" i="7" s="1"/>
  <c r="F36" i="7"/>
  <c r="H36" i="7" s="1"/>
  <c r="F35" i="7"/>
  <c r="H35" i="7" s="1"/>
  <c r="F34" i="7"/>
  <c r="F33" i="7"/>
  <c r="F32" i="7"/>
  <c r="F31" i="7"/>
  <c r="H31" i="7" s="1"/>
  <c r="F30" i="7"/>
  <c r="H30" i="7" s="1"/>
  <c r="E24" i="7"/>
  <c r="F24" i="7" s="1"/>
  <c r="F23" i="7"/>
  <c r="H23" i="7" s="1"/>
  <c r="F22" i="7"/>
  <c r="H22" i="7" s="1"/>
  <c r="F13" i="7"/>
  <c r="F12" i="7"/>
  <c r="M23" i="8" l="1"/>
  <c r="M24" i="8" s="1"/>
  <c r="J23" i="8"/>
  <c r="J24" i="8" s="1"/>
  <c r="N23" i="8"/>
  <c r="N24" i="8" s="1"/>
  <c r="L23" i="8"/>
  <c r="L24" i="8" s="1"/>
  <c r="K23" i="8"/>
  <c r="F24" i="8"/>
  <c r="G22" i="8"/>
  <c r="C24" i="8"/>
  <c r="E22" i="8"/>
  <c r="E24" i="8" s="1"/>
  <c r="D22" i="8"/>
  <c r="D24" i="8" s="1"/>
  <c r="K24" i="8"/>
  <c r="H32" i="7"/>
  <c r="H33" i="7"/>
  <c r="H34" i="7"/>
  <c r="F36" i="6"/>
  <c r="H36" i="6" s="1"/>
  <c r="F35" i="6"/>
  <c r="H35" i="6" s="1"/>
  <c r="F34" i="6"/>
  <c r="H34" i="6" s="1"/>
  <c r="D28" i="6"/>
  <c r="C28" i="6"/>
  <c r="F18" i="6"/>
  <c r="H18" i="6" s="1"/>
  <c r="F17" i="6"/>
  <c r="H17" i="6" s="1"/>
  <c r="F16" i="6"/>
  <c r="H16" i="6" s="1"/>
  <c r="F15" i="6"/>
  <c r="H15" i="6" s="1"/>
  <c r="D10" i="6"/>
  <c r="C10" i="6"/>
  <c r="G4" i="6"/>
  <c r="N25" i="8" l="1"/>
  <c r="D25" i="8"/>
  <c r="D26" i="8" s="1"/>
  <c r="D27" i="8" s="1"/>
  <c r="E25" i="8"/>
  <c r="H22" i="8"/>
  <c r="G24" i="8"/>
  <c r="L25" i="8"/>
  <c r="M25" i="8"/>
  <c r="M26" i="8" s="1"/>
  <c r="M27" i="8" s="1"/>
  <c r="K25" i="8"/>
  <c r="J25" i="8"/>
  <c r="J26" i="8" s="1"/>
  <c r="J27" i="8" s="1"/>
  <c r="C25" i="8"/>
  <c r="F25" i="8"/>
  <c r="H37" i="7"/>
  <c r="G13" i="7"/>
  <c r="H13" i="7" s="1"/>
  <c r="G12" i="7"/>
  <c r="H12" i="7" s="1"/>
  <c r="E28" i="6"/>
  <c r="G25" i="6" s="1"/>
  <c r="G29" i="6" s="1"/>
  <c r="H37" i="6"/>
  <c r="H19" i="6"/>
  <c r="E10" i="6"/>
  <c r="G7" i="6" s="1"/>
  <c r="G11" i="6" s="1"/>
  <c r="F17" i="4"/>
  <c r="F18" i="4"/>
  <c r="F16" i="4"/>
  <c r="E30" i="4"/>
  <c r="F30" i="4" s="1"/>
  <c r="F29" i="4"/>
  <c r="H29" i="4" s="1"/>
  <c r="F28" i="4"/>
  <c r="H28" i="4" s="1"/>
  <c r="F37" i="4"/>
  <c r="H37" i="4" s="1"/>
  <c r="F38" i="4"/>
  <c r="F39" i="4"/>
  <c r="F40" i="4"/>
  <c r="F41" i="4"/>
  <c r="H41" i="4" s="1"/>
  <c r="F42" i="4"/>
  <c r="H42" i="4" s="1"/>
  <c r="F36" i="4"/>
  <c r="H36" i="4" s="1"/>
  <c r="G25" i="8" l="1"/>
  <c r="F26" i="8"/>
  <c r="F27" i="8" s="1"/>
  <c r="F28" i="8" s="1"/>
  <c r="C26" i="8"/>
  <c r="C27" i="8" s="1"/>
  <c r="C28" i="8" s="1"/>
  <c r="J28" i="8"/>
  <c r="K26" i="8"/>
  <c r="K27" i="8" s="1"/>
  <c r="K28" i="8" s="1"/>
  <c r="M28" i="8"/>
  <c r="L26" i="8"/>
  <c r="L27" i="8" s="1"/>
  <c r="L28" i="8" s="1"/>
  <c r="H24" i="8"/>
  <c r="I22" i="8"/>
  <c r="E26" i="8"/>
  <c r="E27" i="8" s="1"/>
  <c r="E28" i="8" s="1"/>
  <c r="D28" i="8"/>
  <c r="N26" i="8"/>
  <c r="N27" i="8" s="1"/>
  <c r="N28" i="8" s="1"/>
  <c r="H14" i="7"/>
  <c r="H38" i="7" s="1"/>
  <c r="H39" i="6"/>
  <c r="H20" i="6"/>
  <c r="E5" i="3"/>
  <c r="F44" i="4"/>
  <c r="H44" i="4" s="1"/>
  <c r="D26" i="4"/>
  <c r="F26" i="4" s="1"/>
  <c r="F20" i="4"/>
  <c r="H20" i="4" s="1"/>
  <c r="H25" i="8" l="1"/>
  <c r="I24" i="8"/>
  <c r="G26" i="8"/>
  <c r="G27" i="8" s="1"/>
  <c r="G28" i="8" s="1"/>
  <c r="E26" i="4"/>
  <c r="F34" i="3"/>
  <c r="E34" i="3"/>
  <c r="D27" i="3"/>
  <c r="F27" i="3" s="1"/>
  <c r="H32" i="3" s="1"/>
  <c r="E14" i="3"/>
  <c r="E15" i="3"/>
  <c r="E16" i="3"/>
  <c r="E19" i="3"/>
  <c r="E20" i="3"/>
  <c r="F20" i="3" s="1"/>
  <c r="H20" i="3" s="1"/>
  <c r="E21" i="3"/>
  <c r="E18" i="3"/>
  <c r="F18" i="3" s="1"/>
  <c r="H18" i="3" s="1"/>
  <c r="F21" i="3"/>
  <c r="H21" i="3" s="1"/>
  <c r="F19" i="3"/>
  <c r="H19" i="3" s="1"/>
  <c r="F15" i="3"/>
  <c r="H15" i="3" s="1"/>
  <c r="F16" i="3"/>
  <c r="E13" i="3"/>
  <c r="F13" i="3" s="1"/>
  <c r="H13" i="3" s="1"/>
  <c r="F14" i="3"/>
  <c r="H14" i="3" s="1"/>
  <c r="E6" i="3"/>
  <c r="E7" i="3"/>
  <c r="E8" i="3"/>
  <c r="H16" i="3"/>
  <c r="H6" i="3"/>
  <c r="H7" i="3"/>
  <c r="H8" i="3"/>
  <c r="F6" i="3"/>
  <c r="F7" i="3"/>
  <c r="F8" i="3"/>
  <c r="F5" i="3"/>
  <c r="H5" i="3" s="1"/>
  <c r="H9" i="3" s="1"/>
  <c r="I25" i="8" l="1"/>
  <c r="H26" i="8"/>
  <c r="H27" i="8" s="1"/>
  <c r="H28" i="8" s="1"/>
  <c r="H33" i="3"/>
  <c r="H35" i="3"/>
  <c r="H31" i="3"/>
  <c r="H34" i="3"/>
  <c r="H36" i="3" s="1"/>
  <c r="H37" i="3" s="1"/>
  <c r="E27" i="3"/>
  <c r="H22" i="3"/>
  <c r="E19" i="4"/>
  <c r="E43" i="4"/>
  <c r="F43" i="4" s="1"/>
  <c r="G38" i="4"/>
  <c r="H38" i="4" s="1"/>
  <c r="G39" i="4"/>
  <c r="H39" i="4" s="1"/>
  <c r="I26" i="8" l="1"/>
  <c r="I27" i="8" s="1"/>
  <c r="I28" i="8" s="1"/>
  <c r="H40" i="4"/>
  <c r="H43" i="4" s="1"/>
  <c r="H45" i="4" s="1"/>
  <c r="E9" i="4"/>
  <c r="F9" i="4"/>
  <c r="G4" i="2"/>
  <c r="F38" i="2"/>
  <c r="H38" i="2" s="1"/>
  <c r="F39" i="2"/>
  <c r="H39" i="2" s="1"/>
  <c r="F37" i="2"/>
  <c r="H37" i="2" s="1"/>
  <c r="E28" i="2"/>
  <c r="D32" i="2"/>
  <c r="C32" i="2"/>
  <c r="D31" i="2"/>
  <c r="C31" i="2"/>
  <c r="E10" i="4" l="1"/>
  <c r="F11" i="4" s="1"/>
  <c r="E14" i="4" s="1"/>
  <c r="G18" i="4" s="1"/>
  <c r="H18" i="4" s="1"/>
  <c r="G14" i="4"/>
  <c r="I10" i="4"/>
  <c r="E31" i="2"/>
  <c r="H40" i="2"/>
  <c r="F28" i="2"/>
  <c r="F17" i="2"/>
  <c r="H17" i="2" s="1"/>
  <c r="F18" i="2"/>
  <c r="H18" i="2" s="1"/>
  <c r="F19" i="2"/>
  <c r="H19" i="2" s="1"/>
  <c r="F16" i="2"/>
  <c r="H16" i="2" s="1"/>
  <c r="D10" i="2"/>
  <c r="C10" i="2"/>
  <c r="D11" i="2"/>
  <c r="C11" i="2"/>
  <c r="F7" i="2"/>
  <c r="H7" i="2" s="1"/>
  <c r="H28" i="2" l="1"/>
  <c r="E32" i="2" s="1"/>
  <c r="E33" i="2" s="1"/>
  <c r="H42" i="2" s="1"/>
  <c r="D12" i="4"/>
  <c r="G17" i="4" s="1"/>
  <c r="H17" i="4" s="1"/>
  <c r="I12" i="4"/>
  <c r="G16" i="4" s="1"/>
  <c r="H16" i="4" s="1"/>
  <c r="H20" i="2"/>
  <c r="E10" i="2"/>
  <c r="E11" i="2" s="1"/>
  <c r="E7" i="2"/>
  <c r="I33" i="1"/>
  <c r="I35" i="1"/>
  <c r="H34" i="1"/>
  <c r="H32" i="1"/>
  <c r="I29" i="1"/>
  <c r="I34" i="1" s="1"/>
  <c r="H29" i="1"/>
  <c r="H33" i="1" s="1"/>
  <c r="D33" i="1"/>
  <c r="D35" i="1"/>
  <c r="C34" i="1"/>
  <c r="C32" i="1"/>
  <c r="D22" i="1"/>
  <c r="D24" i="1"/>
  <c r="C23" i="1"/>
  <c r="C21" i="1"/>
  <c r="D29" i="1"/>
  <c r="D34" i="1" s="1"/>
  <c r="C29" i="1"/>
  <c r="C33" i="1" s="1"/>
  <c r="D18" i="1"/>
  <c r="D23" i="1" s="1"/>
  <c r="C18" i="1"/>
  <c r="C22" i="1" s="1"/>
  <c r="D21" i="1" l="1"/>
  <c r="D32" i="1"/>
  <c r="C24" i="1"/>
  <c r="C35" i="1"/>
  <c r="E12" i="2"/>
  <c r="H22" i="2" s="1"/>
  <c r="H19" i="4"/>
  <c r="I32" i="1"/>
  <c r="H35" i="1"/>
  <c r="H21" i="4" l="1"/>
  <c r="H46" i="4" s="1"/>
</calcChain>
</file>

<file path=xl/sharedStrings.xml><?xml version="1.0" encoding="utf-8"?>
<sst xmlns="http://schemas.openxmlformats.org/spreadsheetml/2006/main" count="529" uniqueCount="296">
  <si>
    <t>Konstant 1</t>
  </si>
  <si>
    <t>konstant 2</t>
  </si>
  <si>
    <t>7,4-32 kg</t>
  </si>
  <si>
    <t>N ab dyr, g</t>
  </si>
  <si>
    <t>N ab dyr,g</t>
  </si>
  <si>
    <t>afg. Vægt</t>
  </si>
  <si>
    <t>Indg.vægt</t>
  </si>
  <si>
    <t>korr. Faktor</t>
  </si>
  <si>
    <t>Vægtkorrektioner af BAT 2015/16</t>
  </si>
  <si>
    <t>Vægtkorrektioner af BAT 2014/15</t>
  </si>
  <si>
    <t>slagtesvin</t>
  </si>
  <si>
    <t>smågrise</t>
  </si>
  <si>
    <t>Korrektionsfaktor ganges med BAT-krav i den aktuelle situation</t>
  </si>
  <si>
    <t>Er afgangsvægten under 40 kg bruges BAT-krav for smågrise 7,4-32 kg og korrektionsfaktor for smågrise</t>
  </si>
  <si>
    <t>Er afgangsvægt over 90 kg bruges BAT-krav for slagtesvin 32-107 kg og korrektionsfaktor for slagtesvin</t>
  </si>
  <si>
    <t>Skulle der være en afgangsvægt mellem 40 og 90 kg er det nok mest korrekt at regne som slagtesvin.</t>
  </si>
  <si>
    <t>32-107 kg</t>
  </si>
  <si>
    <t>Derimod kan skift i normtal jo få en del betydning for den beregnede ammoniakfordampning i Husdyrgodkendelse.dk</t>
  </si>
  <si>
    <t>Generelt har skift til ny type 1 ligning ingen praktisk betydning for BAT-korrektionen, medmindre man</t>
  </si>
  <si>
    <r>
      <t xml:space="preserve">er </t>
    </r>
    <r>
      <rPr>
        <b/>
        <sz val="11"/>
        <color theme="1"/>
        <rFont val="Calibri"/>
        <family val="2"/>
        <scheme val="minor"/>
      </rPr>
      <t xml:space="preserve">meget </t>
    </r>
    <r>
      <rPr>
        <sz val="11"/>
        <color theme="1"/>
        <rFont val="Calibri"/>
        <family val="2"/>
        <scheme val="minor"/>
      </rPr>
      <t>langt fra referencevægten</t>
    </r>
  </si>
  <si>
    <t>Emissionsgrænseværdi IT 2011 x (referenceligning med aktuelt vægtinterval i år 20xx) /</t>
  </si>
  <si>
    <t>(referenceværdi beregnet for vægtintervallet 32-107 kg i år 20xx)</t>
  </si>
  <si>
    <t>(referenceværdi beregnet for vægtintervallet 7,4-32 kg i år 20xx)</t>
  </si>
  <si>
    <r>
      <rPr>
        <b/>
        <i/>
        <sz val="10"/>
        <color theme="1"/>
        <rFont val="Arial Unicode MS"/>
        <family val="2"/>
      </rPr>
      <t>Slagtesvin</t>
    </r>
    <r>
      <rPr>
        <i/>
        <sz val="10"/>
        <color theme="1"/>
        <rFont val="Arial Unicode MS"/>
        <family val="2"/>
      </rPr>
      <t>: Vægtkorrektion i år 20xx =</t>
    </r>
  </si>
  <si>
    <r>
      <rPr>
        <b/>
        <i/>
        <sz val="10"/>
        <color theme="1"/>
        <rFont val="Arial Unicode MS"/>
        <family val="2"/>
      </rPr>
      <t>Smågrise</t>
    </r>
    <r>
      <rPr>
        <i/>
        <sz val="10"/>
        <color theme="1"/>
        <rFont val="Arial Unicode MS"/>
        <family val="2"/>
      </rPr>
      <t>: Vægtkorrektion i år 20xx =</t>
    </r>
  </si>
  <si>
    <t>Ovenstående kan opfattes som emissionsgrænseværdi 2011 x vægtkorrektionsfaktor, som beregnes her:</t>
  </si>
  <si>
    <t>Mijløministeriet vejledning har følgende formulering om vægtkorrektioner:</t>
  </si>
  <si>
    <t xml:space="preserve">Der kan indtastes i gule felter. </t>
  </si>
  <si>
    <t>Andet selvvalgt år:</t>
  </si>
  <si>
    <t>Vil man undersøge andre år</t>
  </si>
  <si>
    <t>kan man indtaste konstanter i blå felter</t>
  </si>
  <si>
    <t>antal</t>
  </si>
  <si>
    <t>ind.vægt</t>
  </si>
  <si>
    <t>antal pr DE</t>
  </si>
  <si>
    <t>DE i alt</t>
  </si>
  <si>
    <t>DE pr dyr</t>
  </si>
  <si>
    <t>BAT pr slagtesvin</t>
  </si>
  <si>
    <t>BAT i alt fra udvidelse</t>
  </si>
  <si>
    <t>Kg NH3-N</t>
  </si>
  <si>
    <t>25-49% fast gulv</t>
  </si>
  <si>
    <t>50-75% fast gulv</t>
  </si>
  <si>
    <t>indvægt</t>
  </si>
  <si>
    <t>BAT 32-107</t>
  </si>
  <si>
    <t>BAT i alt</t>
  </si>
  <si>
    <t>vægtkorr.</t>
  </si>
  <si>
    <t>BAT i alt eksisterende stalde</t>
  </si>
  <si>
    <t>kg NH3-N</t>
  </si>
  <si>
    <t>til vægtkorrektion</t>
  </si>
  <si>
    <t>Skæring</t>
  </si>
  <si>
    <t>hældning</t>
  </si>
  <si>
    <t>g N ab dyr pr svin</t>
  </si>
  <si>
    <t>N ab dyr 32-107 kg:</t>
  </si>
  <si>
    <t>levende  vægt ved faktor 1,31</t>
  </si>
  <si>
    <t>BAT for udvidelsen</t>
  </si>
  <si>
    <t>BAT pr smågris</t>
  </si>
  <si>
    <t>N ab dyr 7,4-32 kg:</t>
  </si>
  <si>
    <t>Beregning af BAT-krav for smågrise, med 2015/16 vægtkorrektioner. Max 40 kg!</t>
  </si>
  <si>
    <t>BAT i alt fra udvidelse og eksisterende stalde, smågrise</t>
  </si>
  <si>
    <t>BAT i alt fra udvidelse og eksisterende stalde, slagtesvin</t>
  </si>
  <si>
    <t>Beregning af BAT fra eksisterende stalde, smågrise:</t>
  </si>
  <si>
    <t>Beregning af BAT fra eksisterende stalde, slagtesvin:</t>
  </si>
  <si>
    <t>afg.vægt</t>
  </si>
  <si>
    <t xml:space="preserve"> ved udvidelse på DE:</t>
  </si>
  <si>
    <t>BAT 7,4-32</t>
  </si>
  <si>
    <t>Evt. omregning fra slagtevægt til levende vægt, som skal indtastes</t>
  </si>
  <si>
    <t>Slagtevægt</t>
  </si>
  <si>
    <t>Antal</t>
  </si>
  <si>
    <t>Vægtkorrektion</t>
  </si>
  <si>
    <t>Til vægtkorrektion</t>
  </si>
  <si>
    <t>Fuldspaltegulv</t>
  </si>
  <si>
    <t>Drænet gulv</t>
  </si>
  <si>
    <t>Delvis fast gulv</t>
  </si>
  <si>
    <t>adg.vægt</t>
  </si>
  <si>
    <t>g N ab dyr pr gris</t>
  </si>
  <si>
    <t>frav, pr.</t>
  </si>
  <si>
    <t>årsso</t>
  </si>
  <si>
    <t>vægt ved</t>
  </si>
  <si>
    <t>fravænning</t>
  </si>
  <si>
    <t>op til 250 DE</t>
  </si>
  <si>
    <t>heraf farestalde, kun gylle</t>
  </si>
  <si>
    <t>BAT pr årso, løse, dybst+spaltegulv, dr. stald</t>
  </si>
  <si>
    <t>Bat pr årsso, løse, dybst+ spaltegulv her:</t>
  </si>
  <si>
    <t>ved</t>
  </si>
  <si>
    <t>DE i udvidelsen</t>
  </si>
  <si>
    <t>Bat i alt fra farestalde</t>
  </si>
  <si>
    <t>antal årssøer</t>
  </si>
  <si>
    <r>
      <t xml:space="preserve">Bat fra drægtighedsstalde </t>
    </r>
    <r>
      <rPr>
        <b/>
        <sz val="11"/>
        <color theme="1"/>
        <rFont val="Calibri"/>
        <family val="2"/>
        <scheme val="minor"/>
      </rPr>
      <t>uden</t>
    </r>
    <r>
      <rPr>
        <sz val="11"/>
        <color theme="1"/>
        <rFont val="Calibri"/>
        <family val="2"/>
        <scheme val="minor"/>
      </rPr>
      <t xml:space="preserve"> dybstrøelse</t>
    </r>
  </si>
  <si>
    <r>
      <t xml:space="preserve">BAT fra drægtighedsstalde </t>
    </r>
    <r>
      <rPr>
        <b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dybstrøelse</t>
    </r>
  </si>
  <si>
    <t>BAT/årsso</t>
  </si>
  <si>
    <t>BAT bidrag</t>
  </si>
  <si>
    <t>Heraf drægtighedsstalde, kun gylle</t>
  </si>
  <si>
    <t>Ved udvidelse er BAT-kravet lidt højere, hvis der er dybstrøelse + spaltegulv end i systemer uden dybstrøelse</t>
  </si>
  <si>
    <t>Beregning af BAT fra eksisterende stalde, søer:</t>
  </si>
  <si>
    <t>til B AT</t>
  </si>
  <si>
    <t>Farestalde</t>
  </si>
  <si>
    <t>Kassestier, fuldspaltegulv</t>
  </si>
  <si>
    <t>Kassestier, delvis fast gulv</t>
  </si>
  <si>
    <t>Løsgående, delvis fast gulv, fast møj + ajle*</t>
  </si>
  <si>
    <t>Løbedrægtighedsstalde</t>
  </si>
  <si>
    <t>individuel opstaldning, delvis spaltegulv</t>
  </si>
  <si>
    <t>individuel opstaldning, fuldspaltegulv</t>
  </si>
  <si>
    <t>Løsgående dybstrøelse</t>
  </si>
  <si>
    <t>Løsgående delvis spaltegulv</t>
  </si>
  <si>
    <t>?</t>
  </si>
  <si>
    <t>Findes ikke i BAT-anbefalinger. Er her beregnet som:</t>
  </si>
  <si>
    <t>I alt eksisterende fare og løbe-drægtighedsstalde</t>
  </si>
  <si>
    <r>
      <t xml:space="preserve">BAT pr årsso, </t>
    </r>
    <r>
      <rPr>
        <b/>
        <sz val="11"/>
        <color theme="1"/>
        <rFont val="Calibri"/>
        <family val="2"/>
        <scheme val="minor"/>
      </rPr>
      <t>kun gylle</t>
    </r>
    <r>
      <rPr>
        <sz val="11"/>
        <color theme="1"/>
        <rFont val="Calibri"/>
        <family val="2"/>
        <scheme val="minor"/>
      </rPr>
      <t xml:space="preserve"> både fare- og drægt. Stald</t>
    </r>
  </si>
  <si>
    <t>årssøer</t>
  </si>
  <si>
    <t>Dette er en korrektionsfaktor fra BAT op til 250 DE på</t>
  </si>
  <si>
    <t>Løsgående delvis fast gulv, gylle**</t>
  </si>
  <si>
    <t xml:space="preserve"> </t>
  </si>
  <si>
    <t>*Dette system findes i IT systemet uden definition af BAT. Refererer til sostalde fra 70érne.</t>
  </si>
  <si>
    <t>Beregning af BAT-krav for fosfor ifølge husdyrvejledning om BAT standardvilkår</t>
  </si>
  <si>
    <t>DE</t>
  </si>
  <si>
    <t>kg P pr DE</t>
  </si>
  <si>
    <t>kg P</t>
  </si>
  <si>
    <t>Dybstrøelse</t>
  </si>
  <si>
    <t>ind vægt</t>
  </si>
  <si>
    <t>Staldsystem</t>
  </si>
  <si>
    <t>Fast gulv</t>
  </si>
  <si>
    <t>Smågrise op til 40 kg - regnet med 5167 kg tilvækst pr DE</t>
  </si>
  <si>
    <t>Bat  i alt smågrise</t>
  </si>
  <si>
    <t>antal/DE</t>
  </si>
  <si>
    <t>antal/ DE</t>
  </si>
  <si>
    <t>BAT for slagtesvin og ungsvin, formler kræver startvægt under 40 kg og slutvægt over 40 kg</t>
  </si>
  <si>
    <t>BAT for "slutsvin", ved indgangvægt mellem 40 og 87 kg og afgangsvægt over 87 kg</t>
  </si>
  <si>
    <t>For FRATS produktion regnes som smågrise indtil 31 kg, derfra slagtesvin</t>
  </si>
  <si>
    <t>BAT for søer, hvor alle søer er på samme bedrift</t>
  </si>
  <si>
    <t>Dr. søer, gylle + dybstrøelse</t>
  </si>
  <si>
    <t>Dr. søer, dybstrøelse uden gylle</t>
  </si>
  <si>
    <t>% del</t>
  </si>
  <si>
    <t>BAT-krav</t>
  </si>
  <si>
    <t>I alt før korrektion for friland</t>
  </si>
  <si>
    <t>BAT, kg P</t>
  </si>
  <si>
    <t>Dr. søer, gylle, ingen dybstrøelse*</t>
  </si>
  <si>
    <t>*Omfatter ud fra vejledningsnotat også individuel opstaldning med fast gødning og ajle,</t>
  </si>
  <si>
    <t>Beregnes ud fra procentandel af drægtige fordelt på staldssystemer og evt dieg. på friland</t>
  </si>
  <si>
    <t>samlet krav til BAT, søer</t>
  </si>
  <si>
    <t>Korrektion for procentdel af diegivende, friland</t>
  </si>
  <si>
    <t>da dette system har sat max grænsen for BAT for stalde uden dybstrøelse.</t>
  </si>
  <si>
    <t>"+ 0,7 kg pr DE"</t>
  </si>
  <si>
    <t>Opnået gennemsnitligt BAT-krav pr DE, søer</t>
  </si>
  <si>
    <t>skal være =</t>
  </si>
  <si>
    <t>Beregning af BAT-krav for søer - symmetrisk udvidelse</t>
  </si>
  <si>
    <t>Denne beregningsmodel forudsætter, at de udvides lige meget i farestalde og løbe-dr. stalde</t>
  </si>
  <si>
    <t>Ved udvidelse kun i et staldafsnit kan man kun bruge delresultater ikke summene.</t>
  </si>
  <si>
    <t>Bemærk at sum alle årssøer skal fordeles, så sum af årssøer farestalde = sum drægtighedsstalde = årssøer i alt</t>
  </si>
  <si>
    <t>i eksisterende stalde</t>
  </si>
  <si>
    <t>BAT i alt for ungsvin, almindelige slagtesvin og slut-slagtesvin</t>
  </si>
  <si>
    <t>pr so</t>
  </si>
  <si>
    <t>i alt, Kg</t>
  </si>
  <si>
    <t>Korrektion for fravænningsvægt, hvis &lt; 6,85 el &gt;7,95</t>
  </si>
  <si>
    <t>BAT i alt for udvidelse, korrigeret for fravænningsvægt</t>
  </si>
  <si>
    <t>pr årsso</t>
  </si>
  <si>
    <t>BAT i alt for udvidelse og eksisterende sostalde korrigeret for evt. afvigende frav.vægt</t>
  </si>
  <si>
    <r>
      <t>individuel opstaldning, fast gulv</t>
    </r>
    <r>
      <rPr>
        <sz val="11"/>
        <color rgb="FFFF0000"/>
        <rFont val="Calibri"/>
        <family val="2"/>
        <scheme val="minor"/>
      </rPr>
      <t>*</t>
    </r>
  </si>
  <si>
    <t>% af drægtige</t>
  </si>
  <si>
    <t>% af farestier</t>
  </si>
  <si>
    <t>Antal årssøer</t>
  </si>
  <si>
    <t>i alt farestier</t>
  </si>
  <si>
    <t>(til celle C7)</t>
  </si>
  <si>
    <t>BAT for udvidelsen, smågrise</t>
  </si>
  <si>
    <t>antal pr år</t>
  </si>
  <si>
    <t>Beregning af BAT-krav for ammoniak for slagtesvin og smågrise</t>
  </si>
  <si>
    <t>% af årssøer</t>
  </si>
  <si>
    <t>**Staldsystemet har ikke selvstændig norm - brug nærmeste staldsystem, som er kassstier delvis fast gulv</t>
  </si>
  <si>
    <t>Beregning af generelle krav for ammoniak for slagtesvin og smågrise</t>
  </si>
  <si>
    <t>med gældende vægtkorrektioner fra 2011 (uændrede)</t>
  </si>
  <si>
    <t>Generel krav for udvidelsen</t>
  </si>
  <si>
    <t>krav 30-102</t>
  </si>
  <si>
    <t>N ab dyr 30-102 kg:</t>
  </si>
  <si>
    <t>Vægtkorr. udvidelse</t>
  </si>
  <si>
    <t>Generelt krav for udvidelsen, i alt</t>
  </si>
  <si>
    <t>Beregning af generelt krav fra eksisterende stalde, slagtesvin:</t>
  </si>
  <si>
    <t>(faktor, der gange på  normtal 30-102 ,05/06)</t>
  </si>
  <si>
    <t>Generelt krav (dvs normtal 05-06) i alt eksisterende stalde</t>
  </si>
  <si>
    <t>Generelt krav i alt fra udvidelse og eksisterende stalde, slagtesvin</t>
  </si>
  <si>
    <t>generelt krav</t>
  </si>
  <si>
    <t>i alt</t>
  </si>
  <si>
    <t>normtal*</t>
  </si>
  <si>
    <t>*Bemærk at normtal er genberegnede med nye ligninger i 2011 på 2005-06 forudsætninger</t>
  </si>
  <si>
    <t>Krav aktuel vægt pr svin</t>
  </si>
  <si>
    <t>krav 7,2-30</t>
  </si>
  <si>
    <t>Generelt krav for udvidelse af smågriseproduktionen</t>
  </si>
  <si>
    <t>Krav aktuel vægt pr smågris</t>
  </si>
  <si>
    <t>N ab dyr 7,2-30 kg:</t>
  </si>
  <si>
    <t>Beregning af generelt krav fra eksisterende stalde, smågrise:</t>
  </si>
  <si>
    <t>Normtal*</t>
  </si>
  <si>
    <t>7,2-30 kg</t>
  </si>
  <si>
    <t>30-102 kg</t>
  </si>
  <si>
    <t>generelt krav i alt</t>
  </si>
  <si>
    <t>Generelt krav i alt fra udvidelse og eksisterende stalde, smågrise</t>
  </si>
  <si>
    <t>Generelt krav for udvidelsen</t>
  </si>
  <si>
    <t>Generelt i alt fra farestalde</t>
  </si>
  <si>
    <t>Generelt fra drægtighedsstalde</t>
  </si>
  <si>
    <t>generelt i alt fra udvidelse</t>
  </si>
  <si>
    <t>krav/årsso</t>
  </si>
  <si>
    <t>generelt bidrag</t>
  </si>
  <si>
    <t>ved symmetrisk udvidelse</t>
  </si>
  <si>
    <t>begge skal være 100</t>
  </si>
  <si>
    <t xml:space="preserve">Beregning af generelle-krav for søer </t>
  </si>
  <si>
    <t>Denne beregningsmodel forudsætter normalt, at de udvides lige meget i farestalde og løbe-dr. stalde</t>
  </si>
  <si>
    <t>Ved udvidelse kun i et staldafsnit skal man tænke over fordelingsmodel på farestalde og drægtighedsstalde</t>
  </si>
  <si>
    <t>udvidelse</t>
  </si>
  <si>
    <t>Antal i</t>
  </si>
  <si>
    <t>er uafhængigt af antal og vægt</t>
  </si>
  <si>
    <t>ved fravænning i modsætning</t>
  </si>
  <si>
    <t>til BAT-krav, der vægtkorrigeres</t>
  </si>
  <si>
    <t>Heraf drægtighedsstalde</t>
  </si>
  <si>
    <t>heraf farestalde</t>
  </si>
  <si>
    <t>Beregning af generelle krav (= normtal 05/06) fra eksisterende stalde, søer:</t>
  </si>
  <si>
    <t>Norm05/06</t>
  </si>
  <si>
    <t>*Dette system findes i IT systemet. Refererer til sostalde fra 70érne. Medregnes ikke her, da meget sjældent.</t>
  </si>
  <si>
    <t>Generelt krav i alt fra udvidelse + eksisterende stalde</t>
  </si>
  <si>
    <r>
      <t>Løsgående dybstrøelse + fast gulv</t>
    </r>
    <r>
      <rPr>
        <sz val="11"/>
        <color rgb="FFFF0000"/>
        <rFont val="Calibri"/>
        <family val="2"/>
        <scheme val="minor"/>
      </rPr>
      <t>*</t>
    </r>
  </si>
  <si>
    <t>Bemærk at sum alle årssøer bliver fordelt, så sum af årssøer farestalde = sum drægtighedsstalde = årssøer i alt</t>
  </si>
  <si>
    <t>beregning forudsætter alle søer på samme anlæg</t>
  </si>
  <si>
    <t>*beregning: emission normtal 2015-16 aktuel stald / emis. delvis spaltegulv 2015-16 x normtal delvis spaltegulv 2005/06</t>
  </si>
  <si>
    <t>Korr.faktor for afvigende vægt til miljøstyrelsens BAT-emissionsgrænseværdier.</t>
  </si>
  <si>
    <t>Dette er et baggrundsark til at forstå modellen - BAT beregninger findes i de andre ark</t>
  </si>
  <si>
    <t>hvis 32-107 kg</t>
  </si>
  <si>
    <t>hvis 7,4-32 kg</t>
  </si>
  <si>
    <t>*Emission normtal ind. Ops, fast gulv 2015-16 / normtal løse devis fast gulv 2015-16 x BAT løse delvis fast gulv</t>
  </si>
  <si>
    <r>
      <t>Løsgående dybstrøelse + fast gulv</t>
    </r>
    <r>
      <rPr>
        <sz val="11"/>
        <color rgb="FFFF0000"/>
        <rFont val="Calibri"/>
        <family val="2"/>
        <scheme val="minor"/>
      </rPr>
      <t>***</t>
    </r>
  </si>
  <si>
    <t xml:space="preserve">***Emission Normtal 2015-16 løsgående dybstrøelse+fast gulv / emis. normtal 2015-16 løse delvis fast gulv x </t>
  </si>
  <si>
    <t>x BAT løse delvis fast gulv</t>
  </si>
  <si>
    <t>**0,33 x BAT løse dybstrøelse + 0,67 x BAT løse delvis fast gulv , eksisterende</t>
  </si>
  <si>
    <r>
      <t>Løsgående dybstrøelse</t>
    </r>
    <r>
      <rPr>
        <sz val="11"/>
        <color rgb="FFFF0000"/>
        <rFont val="Calibri"/>
        <family val="2"/>
        <scheme val="minor"/>
      </rPr>
      <t>**</t>
    </r>
  </si>
  <si>
    <r>
      <t>Løsgående  dybstrøelse+spaltegulv</t>
    </r>
    <r>
      <rPr>
        <sz val="11"/>
        <color rgb="FFFF0000"/>
        <rFont val="Calibri"/>
        <family val="2"/>
        <scheme val="minor"/>
      </rPr>
      <t>**</t>
    </r>
  </si>
  <si>
    <t>**Fundet i resume af undersøgt miljøteknologi - udenfor gyllesystemer, MST 2012</t>
  </si>
  <si>
    <t>Dette kan afvige marginalt fra faktiske normtal brugt af miljøstyrelsen for 2005/06 i husdyrgodkendelse.dk.</t>
  </si>
  <si>
    <t>DE i alt, 2010 definition</t>
  </si>
  <si>
    <t>2010-def</t>
  </si>
  <si>
    <t>Bemærk at der bruges 2014-definition af DE, da BAT er tilpasset denne definition.</t>
  </si>
  <si>
    <t>Bemærk, at der bruges 2010-definition af DE til BAT-progression ved udvidelser.</t>
  </si>
  <si>
    <t>Slagtesvin</t>
  </si>
  <si>
    <t>Råprotein pr FEsv</t>
  </si>
  <si>
    <t>Opnået tilsyn.FK</t>
  </si>
  <si>
    <t>FEsv/kg tilvækst</t>
  </si>
  <si>
    <t>FEso</t>
  </si>
  <si>
    <t>N pr kg tilvækst</t>
  </si>
  <si>
    <t>N ab dyr pr kg tv</t>
  </si>
  <si>
    <t>Vægt</t>
  </si>
  <si>
    <t>N ab dyr</t>
  </si>
  <si>
    <t>heraf ufordøjelig N</t>
  </si>
  <si>
    <t>Urin-N</t>
  </si>
  <si>
    <t>Løbe drægtighedsstalde</t>
  </si>
  <si>
    <t>delvis FG</t>
  </si>
  <si>
    <t>drænet</t>
  </si>
  <si>
    <t>fuldspalte</t>
  </si>
  <si>
    <t>Slagtesvinestalde</t>
  </si>
  <si>
    <t>farestalde</t>
  </si>
  <si>
    <t>Fix løbeaf</t>
  </si>
  <si>
    <t>Fix</t>
  </si>
  <si>
    <t>Løse</t>
  </si>
  <si>
    <t>referencestalde</t>
  </si>
  <si>
    <t>Smågrise</t>
  </si>
  <si>
    <t>&gt; 50%FG</t>
  </si>
  <si>
    <t>25-50 FG</t>
  </si>
  <si>
    <t>Fix DFG</t>
  </si>
  <si>
    <t>Fix fuldsp</t>
  </si>
  <si>
    <t>delv FG</t>
  </si>
  <si>
    <t>delvis fg</t>
  </si>
  <si>
    <t>Koefficeint TAN. Stald</t>
  </si>
  <si>
    <t>Ingangsvægt</t>
  </si>
  <si>
    <t>Afgangsvægt</t>
  </si>
  <si>
    <t>N ab dyr, kg</t>
  </si>
  <si>
    <t>Andel TAN-N,%</t>
  </si>
  <si>
    <t>TAN-N, kg</t>
  </si>
  <si>
    <t>Fordampning, stald</t>
  </si>
  <si>
    <t>Indgang lager, TAN-N</t>
  </si>
  <si>
    <t>Fordampning, lager</t>
  </si>
  <si>
    <t>Fordampning, i alt</t>
  </si>
  <si>
    <t>2005/06 normtal beregnet  med TAN-model og nye ligninger for N ab dyr - dvs referencetal for ammoniakfordampning</t>
  </si>
  <si>
    <t xml:space="preserve">Disse tal er ikke publiceret for andre stalde end referencestalde med delvis fast gulv. </t>
  </si>
  <si>
    <t>Antal fravænnede</t>
  </si>
  <si>
    <t>reference, hvorfra reduktionskrav ifølge generelle ammoniakkrav skal beregnes,  er fremhævet.</t>
  </si>
  <si>
    <t>generelt krav, udvidelse</t>
  </si>
  <si>
    <t>(minus 20%)</t>
  </si>
  <si>
    <t>(minus 30%)</t>
  </si>
  <si>
    <t>Søer er også 30 % reduktion fra reference</t>
  </si>
  <si>
    <t>Det er desværre ikke muligt at finde disse genberegnede normtal på miljøstyrelsens hjemmeside.</t>
  </si>
  <si>
    <t>Det er derfor også meget vanskeligt at kontrollere Miljøstyrelsens model for beregning af generelle</t>
  </si>
  <si>
    <t>ammoniakkrav for de eksisterende stalde.</t>
  </si>
  <si>
    <t>Det er desværre ikke muligt at finde alle disse genberegnede normtal på miljøstyrelsens hjemmeside.</t>
  </si>
  <si>
    <t>Koef. TAN, lager</t>
  </si>
  <si>
    <r>
      <t xml:space="preserve">Søer = (0,903+2,512) x 0,7 = </t>
    </r>
    <r>
      <rPr>
        <b/>
        <sz val="11"/>
        <color theme="1"/>
        <rFont val="Calibri"/>
        <family val="2"/>
        <scheme val="minor"/>
      </rPr>
      <t>2,39</t>
    </r>
  </si>
  <si>
    <t>Søer</t>
  </si>
  <si>
    <t>Urin-N, % af N (TAN)</t>
  </si>
  <si>
    <t>Kun vist gyllebaserede systemer, da disse følger TAN-beregningsmodel. Faldende protein (fx 2015/16) giver både mindre N ab dyr og lavere TAN andel</t>
  </si>
  <si>
    <t>Hvis vægten afviger fra referencevægtintervallet fra 2005/06 normtallene skal det generelle ammoniakkrav og referencer eksisterende stalde justeres som følger:</t>
  </si>
  <si>
    <t>Smågrise, vægtkorrektion: ((slutvægt - startvægt) * (15,42 + 0,2072 * (slutvægt + startvægt)) / 527</t>
  </si>
  <si>
    <t>Slagtesvin, vægtkorrektion: ((slutvægt - startvægt) * (15,42 + 0,2072 * (slutvægt + startvægt)) / 3079</t>
  </si>
  <si>
    <t>Denne beregning af referenceværdier for 2005/06 normtal er vist i det sidste faneblad.</t>
  </si>
  <si>
    <t>Denne beregning er vist i det sidste faneblad.</t>
  </si>
  <si>
    <t>med 2016/17 vægtkorrektioner og 2010 DE-definition til BAT-progression ved udvidelser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</si>
</sst>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b/>
      <i/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.5"/>
      <color rgb="FF000000"/>
      <name val="Arial Unicode MS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 Unicode MS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CC15F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90CA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165" fontId="0" fillId="0" borderId="0" xfId="0" applyNumberFormat="1"/>
    <xf numFmtId="0" fontId="1" fillId="0" borderId="0" xfId="0" applyFont="1"/>
    <xf numFmtId="0" fontId="0" fillId="2" borderId="0" xfId="0" applyFill="1"/>
    <xf numFmtId="0" fontId="2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Fill="1"/>
    <xf numFmtId="0" fontId="0" fillId="0" borderId="0" xfId="0" applyFill="1" applyProtection="1"/>
    <xf numFmtId="0" fontId="0" fillId="4" borderId="0" xfId="0" applyFill="1"/>
    <xf numFmtId="0" fontId="2" fillId="4" borderId="0" xfId="0" applyFont="1" applyFill="1"/>
    <xf numFmtId="165" fontId="0" fillId="4" borderId="0" xfId="0" applyNumberFormat="1" applyFill="1"/>
    <xf numFmtId="165" fontId="0" fillId="0" borderId="0" xfId="0" applyNumberFormat="1" applyFill="1"/>
    <xf numFmtId="165" fontId="2" fillId="4" borderId="0" xfId="0" applyNumberFormat="1" applyFont="1" applyFill="1"/>
    <xf numFmtId="0" fontId="2" fillId="5" borderId="0" xfId="0" applyFont="1" applyFill="1"/>
    <xf numFmtId="0" fontId="0" fillId="5" borderId="0" xfId="0" applyFill="1"/>
    <xf numFmtId="166" fontId="0" fillId="5" borderId="0" xfId="0" applyNumberFormat="1" applyFill="1" applyAlignment="1">
      <alignment horizontal="center"/>
    </xf>
    <xf numFmtId="2" fontId="0" fillId="5" borderId="0" xfId="0" applyNumberFormat="1" applyFill="1"/>
    <xf numFmtId="166" fontId="0" fillId="5" borderId="0" xfId="0" applyNumberFormat="1" applyFill="1" applyAlignment="1">
      <alignment horizontal="right"/>
    </xf>
    <xf numFmtId="0" fontId="0" fillId="6" borderId="0" xfId="0" applyFill="1"/>
    <xf numFmtId="166" fontId="0" fillId="6" borderId="0" xfId="0" applyNumberFormat="1" applyFill="1" applyAlignment="1">
      <alignment horizontal="center"/>
    </xf>
    <xf numFmtId="2" fontId="0" fillId="6" borderId="0" xfId="0" applyNumberFormat="1" applyFill="1"/>
    <xf numFmtId="166" fontId="0" fillId="4" borderId="0" xfId="0" applyNumberFormat="1" applyFill="1" applyAlignment="1">
      <alignment horizontal="center"/>
    </xf>
    <xf numFmtId="2" fontId="0" fillId="4" borderId="0" xfId="0" applyNumberForma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3" borderId="0" xfId="0" applyFont="1" applyFill="1"/>
    <xf numFmtId="0" fontId="2" fillId="10" borderId="0" xfId="0" applyFont="1" applyFill="1"/>
    <xf numFmtId="0" fontId="0" fillId="10" borderId="0" xfId="0" applyFill="1"/>
    <xf numFmtId="166" fontId="0" fillId="10" borderId="0" xfId="0" applyNumberFormat="1" applyFill="1" applyAlignment="1">
      <alignment horizontal="center"/>
    </xf>
    <xf numFmtId="2" fontId="0" fillId="10" borderId="0" xfId="0" applyNumberFormat="1" applyFill="1"/>
    <xf numFmtId="166" fontId="0" fillId="10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0" fontId="0" fillId="11" borderId="0" xfId="0" applyFill="1"/>
    <xf numFmtId="165" fontId="0" fillId="11" borderId="0" xfId="0" applyNumberFormat="1" applyFill="1"/>
    <xf numFmtId="165" fontId="2" fillId="11" borderId="0" xfId="0" applyNumberFormat="1" applyFont="1" applyFill="1"/>
    <xf numFmtId="165" fontId="0" fillId="8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5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0" fillId="5" borderId="0" xfId="0" applyFill="1" applyAlignment="1">
      <alignment horizontal="center"/>
    </xf>
    <xf numFmtId="0" fontId="0" fillId="10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right"/>
    </xf>
    <xf numFmtId="0" fontId="0" fillId="10" borderId="0" xfId="0" applyFill="1" applyAlignment="1">
      <alignment horizontal="right"/>
    </xf>
    <xf numFmtId="166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right"/>
    </xf>
    <xf numFmtId="166" fontId="0" fillId="5" borderId="0" xfId="0" applyNumberFormat="1" applyFill="1"/>
    <xf numFmtId="164" fontId="0" fillId="5" borderId="0" xfId="0" applyNumberFormat="1" applyFill="1"/>
    <xf numFmtId="164" fontId="0" fillId="8" borderId="0" xfId="0" applyNumberFormat="1" applyFill="1"/>
    <xf numFmtId="0" fontId="0" fillId="4" borderId="0" xfId="0" applyFont="1" applyFill="1"/>
    <xf numFmtId="0" fontId="6" fillId="4" borderId="0" xfId="0" applyFont="1" applyFill="1"/>
    <xf numFmtId="0" fontId="7" fillId="0" borderId="0" xfId="0" applyFont="1"/>
    <xf numFmtId="0" fontId="8" fillId="0" borderId="0" xfId="0" applyFont="1"/>
    <xf numFmtId="165" fontId="2" fillId="7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166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165" fontId="0" fillId="0" borderId="0" xfId="0" applyNumberFormat="1" applyFill="1" applyAlignment="1">
      <alignment horizontal="right"/>
    </xf>
    <xf numFmtId="165" fontId="2" fillId="0" borderId="0" xfId="0" applyNumberFormat="1" applyFont="1" applyFill="1"/>
    <xf numFmtId="0" fontId="2" fillId="6" borderId="0" xfId="0" applyFont="1" applyFill="1"/>
    <xf numFmtId="0" fontId="2" fillId="12" borderId="0" xfId="0" applyFont="1" applyFill="1"/>
    <xf numFmtId="0" fontId="0" fillId="12" borderId="0" xfId="0" applyFill="1"/>
    <xf numFmtId="165" fontId="0" fillId="12" borderId="0" xfId="0" applyNumberFormat="1" applyFill="1" applyAlignment="1">
      <alignment horizontal="right"/>
    </xf>
    <xf numFmtId="2" fontId="0" fillId="5" borderId="0" xfId="0" applyNumberFormat="1" applyFill="1" applyAlignment="1">
      <alignment horizontal="center"/>
    </xf>
    <xf numFmtId="164" fontId="10" fillId="12" borderId="0" xfId="0" applyNumberFormat="1" applyFont="1" applyFill="1"/>
    <xf numFmtId="0" fontId="10" fillId="0" borderId="0" xfId="0" applyFont="1" applyFill="1"/>
    <xf numFmtId="0" fontId="10" fillId="0" borderId="0" xfId="0" applyFont="1"/>
    <xf numFmtId="164" fontId="0" fillId="12" borderId="0" xfId="0" applyNumberFormat="1" applyFill="1"/>
    <xf numFmtId="164" fontId="2" fillId="12" borderId="0" xfId="0" applyNumberFormat="1" applyFont="1" applyFill="1"/>
    <xf numFmtId="164" fontId="9" fillId="12" borderId="0" xfId="0" applyNumberFormat="1" applyFont="1" applyFill="1"/>
    <xf numFmtId="165" fontId="10" fillId="7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0" fillId="2" borderId="0" xfId="0" applyNumberFormat="1" applyFill="1" applyProtection="1">
      <protection locked="0"/>
    </xf>
    <xf numFmtId="165" fontId="2" fillId="6" borderId="0" xfId="0" applyNumberFormat="1" applyFont="1" applyFill="1"/>
    <xf numFmtId="165" fontId="2" fillId="10" borderId="0" xfId="0" applyNumberFormat="1" applyFont="1" applyFill="1"/>
    <xf numFmtId="2" fontId="0" fillId="5" borderId="0" xfId="0" applyNumberFormat="1" applyFill="1" applyAlignment="1">
      <alignment horizontal="right"/>
    </xf>
    <xf numFmtId="0" fontId="11" fillId="0" borderId="0" xfId="0" applyFont="1"/>
    <xf numFmtId="0" fontId="12" fillId="0" borderId="0" xfId="0" applyFont="1"/>
    <xf numFmtId="0" fontId="2" fillId="13" borderId="0" xfId="0" applyFont="1" applyFill="1"/>
    <xf numFmtId="0" fontId="0" fillId="13" borderId="0" xfId="0" applyFill="1"/>
    <xf numFmtId="0" fontId="0" fillId="13" borderId="0" xfId="0" applyFill="1" applyAlignment="1">
      <alignment horizontal="center"/>
    </xf>
    <xf numFmtId="165" fontId="0" fillId="13" borderId="0" xfId="0" applyNumberFormat="1" applyFill="1"/>
    <xf numFmtId="2" fontId="0" fillId="13" borderId="0" xfId="0" applyNumberFormat="1" applyFill="1"/>
    <xf numFmtId="2" fontId="0" fillId="3" borderId="0" xfId="0" applyNumberFormat="1" applyFill="1"/>
    <xf numFmtId="2" fontId="2" fillId="3" borderId="0" xfId="0" applyNumberFormat="1" applyFont="1" applyFill="1"/>
    <xf numFmtId="0" fontId="13" fillId="0" borderId="0" xfId="0" applyFont="1"/>
    <xf numFmtId="0" fontId="2" fillId="14" borderId="0" xfId="0" applyFont="1" applyFill="1"/>
    <xf numFmtId="0" fontId="0" fillId="14" borderId="0" xfId="0" applyFill="1"/>
    <xf numFmtId="0" fontId="0" fillId="14" borderId="0" xfId="0" applyFill="1" applyAlignment="1">
      <alignment horizontal="center"/>
    </xf>
    <xf numFmtId="166" fontId="0" fillId="14" borderId="0" xfId="0" applyNumberFormat="1" applyFill="1" applyAlignment="1">
      <alignment horizontal="center"/>
    </xf>
    <xf numFmtId="2" fontId="0" fillId="14" borderId="0" xfId="0" applyNumberFormat="1" applyFill="1" applyAlignment="1">
      <alignment horizontal="center"/>
    </xf>
    <xf numFmtId="165" fontId="0" fillId="14" borderId="0" xfId="0" applyNumberFormat="1" applyFill="1"/>
    <xf numFmtId="0" fontId="11" fillId="14" borderId="0" xfId="0" applyFont="1" applyFill="1" applyAlignment="1">
      <alignment horizontal="left"/>
    </xf>
    <xf numFmtId="0" fontId="0" fillId="14" borderId="0" xfId="0" applyFill="1" applyAlignment="1">
      <alignment horizontal="left"/>
    </xf>
    <xf numFmtId="2" fontId="0" fillId="14" borderId="0" xfId="0" applyNumberFormat="1" applyFill="1"/>
    <xf numFmtId="0" fontId="10" fillId="7" borderId="0" xfId="0" applyFont="1" applyFill="1"/>
    <xf numFmtId="0" fontId="14" fillId="0" borderId="0" xfId="0" applyFont="1" applyAlignment="1">
      <alignment vertical="center"/>
    </xf>
    <xf numFmtId="0" fontId="13" fillId="7" borderId="0" xfId="0" applyFont="1" applyFill="1"/>
    <xf numFmtId="164" fontId="13" fillId="7" borderId="0" xfId="0" applyNumberFormat="1" applyFont="1" applyFill="1"/>
    <xf numFmtId="0" fontId="13" fillId="10" borderId="0" xfId="0" applyFont="1" applyFill="1"/>
    <xf numFmtId="165" fontId="13" fillId="10" borderId="0" xfId="0" applyNumberFormat="1" applyFont="1" applyFill="1"/>
    <xf numFmtId="165" fontId="10" fillId="6" borderId="0" xfId="0" applyNumberFormat="1" applyFont="1" applyFill="1" applyAlignment="1">
      <alignment horizontal="left"/>
    </xf>
    <xf numFmtId="165" fontId="0" fillId="6" borderId="0" xfId="0" applyNumberFormat="1" applyFill="1"/>
    <xf numFmtId="165" fontId="10" fillId="10" borderId="0" xfId="0" applyNumberFormat="1" applyFont="1" applyFill="1"/>
    <xf numFmtId="0" fontId="10" fillId="10" borderId="0" xfId="0" applyFont="1" applyFill="1"/>
    <xf numFmtId="0" fontId="0" fillId="12" borderId="0" xfId="0" applyFill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0" xfId="0" applyFont="1" applyFill="1"/>
    <xf numFmtId="0" fontId="16" fillId="12" borderId="0" xfId="0" applyFont="1" applyFill="1" applyAlignment="1">
      <alignment horizontal="center"/>
    </xf>
    <xf numFmtId="164" fontId="13" fillId="10" borderId="0" xfId="0" applyNumberFormat="1" applyFont="1" applyFill="1" applyAlignment="1">
      <alignment horizontal="right"/>
    </xf>
    <xf numFmtId="0" fontId="11" fillId="10" borderId="0" xfId="0" applyFont="1" applyFill="1" applyAlignment="1">
      <alignment horizontal="center"/>
    </xf>
    <xf numFmtId="0" fontId="11" fillId="2" borderId="0" xfId="0" applyFont="1" applyFill="1" applyAlignment="1" applyProtection="1">
      <alignment horizontal="center"/>
      <protection locked="0"/>
    </xf>
    <xf numFmtId="0" fontId="0" fillId="15" borderId="0" xfId="0" applyFill="1"/>
    <xf numFmtId="0" fontId="0" fillId="15" borderId="0" xfId="0" applyFill="1" applyProtection="1">
      <protection locked="0"/>
    </xf>
    <xf numFmtId="166" fontId="0" fillId="15" borderId="0" xfId="0" applyNumberFormat="1" applyFill="1" applyAlignment="1">
      <alignment horizontal="right"/>
    </xf>
    <xf numFmtId="0" fontId="0" fillId="15" borderId="0" xfId="0" applyFill="1" applyAlignment="1">
      <alignment horizontal="center"/>
    </xf>
    <xf numFmtId="165" fontId="0" fillId="15" borderId="0" xfId="0" applyNumberFormat="1" applyFill="1" applyAlignment="1">
      <alignment horizontal="right"/>
    </xf>
    <xf numFmtId="0" fontId="0" fillId="15" borderId="0" xfId="0" applyFill="1" applyAlignment="1" applyProtection="1">
      <alignment horizontal="center"/>
      <protection locked="0"/>
    </xf>
    <xf numFmtId="1" fontId="0" fillId="8" borderId="0" xfId="0" applyNumberFormat="1" applyFill="1"/>
    <xf numFmtId="165" fontId="0" fillId="4" borderId="0" xfId="0" applyNumberFormat="1" applyFill="1" applyProtection="1"/>
    <xf numFmtId="165" fontId="11" fillId="2" borderId="0" xfId="0" applyNumberFormat="1" applyFont="1" applyFill="1" applyProtection="1">
      <protection locked="0"/>
    </xf>
    <xf numFmtId="0" fontId="10" fillId="7" borderId="0" xfId="0" applyFont="1" applyFill="1" applyAlignment="1">
      <alignment horizontal="left"/>
    </xf>
    <xf numFmtId="165" fontId="15" fillId="8" borderId="0" xfId="0" applyNumberFormat="1" applyFont="1" applyFill="1"/>
    <xf numFmtId="0" fontId="15" fillId="8" borderId="0" xfId="0" applyFont="1" applyFill="1"/>
    <xf numFmtId="0" fontId="15" fillId="8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164" fontId="2" fillId="8" borderId="0" xfId="0" applyNumberFormat="1" applyFont="1" applyFill="1"/>
    <xf numFmtId="0" fontId="0" fillId="10" borderId="0" xfId="0" applyFill="1" applyAlignment="1">
      <alignment horizontal="left"/>
    </xf>
    <xf numFmtId="166" fontId="0" fillId="10" borderId="0" xfId="0" applyNumberFormat="1" applyFill="1"/>
    <xf numFmtId="0" fontId="0" fillId="5" borderId="0" xfId="0" applyFont="1" applyFill="1" applyAlignment="1">
      <alignment horizontal="center"/>
    </xf>
    <xf numFmtId="2" fontId="0" fillId="5" borderId="0" xfId="0" applyNumberFormat="1" applyFill="1" applyAlignment="1">
      <alignment horizontal="left"/>
    </xf>
    <xf numFmtId="2" fontId="10" fillId="12" borderId="0" xfId="0" applyNumberFormat="1" applyFont="1" applyFill="1"/>
    <xf numFmtId="0" fontId="0" fillId="5" borderId="0" xfId="0" applyFill="1" applyAlignment="1" applyProtection="1">
      <alignment horizontal="center"/>
    </xf>
    <xf numFmtId="0" fontId="0" fillId="10" borderId="0" xfId="0" applyFill="1" applyAlignment="1" applyProtection="1">
      <alignment horizontal="center"/>
    </xf>
    <xf numFmtId="2" fontId="0" fillId="12" borderId="0" xfId="0" applyNumberFormat="1" applyFont="1" applyFill="1"/>
    <xf numFmtId="0" fontId="17" fillId="0" borderId="0" xfId="0" applyFont="1" applyFill="1"/>
    <xf numFmtId="166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4" borderId="0" xfId="0" applyFill="1" applyAlignment="1">
      <alignment horizontal="right"/>
    </xf>
    <xf numFmtId="165" fontId="0" fillId="5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166" fontId="0" fillId="6" borderId="0" xfId="0" applyNumberFormat="1" applyFill="1" applyAlignment="1">
      <alignment horizontal="right"/>
    </xf>
    <xf numFmtId="164" fontId="2" fillId="3" borderId="0" xfId="0" applyNumberFormat="1" applyFont="1" applyFill="1"/>
    <xf numFmtId="165" fontId="10" fillId="4" borderId="0" xfId="0" applyNumberFormat="1" applyFont="1" applyFill="1"/>
    <xf numFmtId="0" fontId="10" fillId="4" borderId="0" xfId="0" applyFont="1" applyFill="1"/>
    <xf numFmtId="0" fontId="10" fillId="4" borderId="0" xfId="0" applyFont="1" applyFill="1" applyAlignment="1">
      <alignment horizontal="left"/>
    </xf>
    <xf numFmtId="164" fontId="13" fillId="4" borderId="0" xfId="0" applyNumberFormat="1" applyFont="1" applyFill="1"/>
    <xf numFmtId="0" fontId="13" fillId="4" borderId="0" xfId="0" applyFont="1" applyFill="1"/>
    <xf numFmtId="2" fontId="13" fillId="12" borderId="0" xfId="0" applyNumberFormat="1" applyFont="1" applyFill="1"/>
    <xf numFmtId="16" fontId="0" fillId="12" borderId="0" xfId="0" applyNumberFormat="1" applyFill="1"/>
    <xf numFmtId="0" fontId="0" fillId="16" borderId="0" xfId="0" applyFill="1"/>
    <xf numFmtId="164" fontId="0" fillId="16" borderId="0" xfId="0" applyNumberFormat="1" applyFill="1"/>
    <xf numFmtId="0" fontId="2" fillId="16" borderId="0" xfId="0" applyFont="1" applyFill="1" applyAlignment="1">
      <alignment horizontal="right"/>
    </xf>
    <xf numFmtId="2" fontId="0" fillId="12" borderId="0" xfId="0" applyNumberFormat="1" applyFill="1"/>
    <xf numFmtId="2" fontId="0" fillId="16" borderId="0" xfId="0" applyNumberFormat="1" applyFill="1"/>
    <xf numFmtId="2" fontId="2" fillId="16" borderId="0" xfId="0" applyNumberFormat="1" applyFont="1" applyFill="1" applyAlignment="1">
      <alignment horizontal="right"/>
    </xf>
    <xf numFmtId="2" fontId="11" fillId="12" borderId="0" xfId="0" applyNumberFormat="1" applyFont="1" applyFill="1"/>
    <xf numFmtId="2" fontId="11" fillId="16" borderId="0" xfId="0" applyNumberFormat="1" applyFont="1" applyFill="1"/>
    <xf numFmtId="0" fontId="19" fillId="16" borderId="0" xfId="0" applyFont="1" applyFill="1"/>
    <xf numFmtId="0" fontId="2" fillId="16" borderId="0" xfId="0" applyFont="1" applyFill="1"/>
    <xf numFmtId="0" fontId="13" fillId="12" borderId="0" xfId="0" applyFont="1" applyFill="1"/>
    <xf numFmtId="0" fontId="13" fillId="16" borderId="0" xfId="0" applyFont="1" applyFill="1"/>
    <xf numFmtId="2" fontId="13" fillId="16" borderId="0" xfId="0" applyNumberFormat="1" applyFont="1" applyFill="1"/>
    <xf numFmtId="164" fontId="13" fillId="12" borderId="0" xfId="0" applyNumberFormat="1" applyFont="1" applyFill="1"/>
    <xf numFmtId="164" fontId="13" fillId="16" borderId="0" xfId="0" applyNumberFormat="1" applyFont="1" applyFill="1"/>
    <xf numFmtId="0" fontId="19" fillId="10" borderId="0" xfId="0" applyFont="1" applyFill="1"/>
    <xf numFmtId="0" fontId="6" fillId="9" borderId="0" xfId="0" applyFont="1" applyFill="1"/>
    <xf numFmtId="0" fontId="18" fillId="9" borderId="0" xfId="0" applyFont="1" applyFill="1"/>
    <xf numFmtId="16" fontId="0" fillId="9" borderId="0" xfId="0" applyNumberFormat="1" applyFill="1"/>
    <xf numFmtId="17" fontId="0" fillId="9" borderId="0" xfId="0" applyNumberFormat="1" applyFill="1"/>
    <xf numFmtId="165" fontId="0" fillId="12" borderId="0" xfId="0" applyNumberFormat="1" applyFill="1"/>
    <xf numFmtId="165" fontId="0" fillId="16" borderId="0" xfId="0" applyNumberFormat="1" applyFill="1"/>
    <xf numFmtId="0" fontId="0" fillId="17" borderId="0" xfId="0" applyFill="1"/>
    <xf numFmtId="164" fontId="0" fillId="17" borderId="0" xfId="0" applyNumberFormat="1" applyFill="1"/>
    <xf numFmtId="0" fontId="19" fillId="17" borderId="0" xfId="0" applyFont="1" applyFill="1"/>
    <xf numFmtId="2" fontId="0" fillId="17" borderId="0" xfId="0" applyNumberFormat="1" applyFill="1"/>
    <xf numFmtId="2" fontId="19" fillId="17" borderId="0" xfId="0" applyNumberFormat="1" applyFont="1" applyFill="1"/>
    <xf numFmtId="0" fontId="20" fillId="17" borderId="0" xfId="0" applyFont="1" applyFill="1"/>
    <xf numFmtId="2" fontId="11" fillId="17" borderId="0" xfId="0" applyNumberFormat="1" applyFont="1" applyFill="1"/>
    <xf numFmtId="164" fontId="0" fillId="13" borderId="0" xfId="0" applyNumberFormat="1" applyFill="1"/>
    <xf numFmtId="0" fontId="19" fillId="13" borderId="0" xfId="0" applyFont="1" applyFill="1"/>
    <xf numFmtId="0" fontId="13" fillId="13" borderId="0" xfId="0" applyFont="1" applyFill="1"/>
    <xf numFmtId="2" fontId="13" fillId="13" borderId="0" xfId="0" applyNumberFormat="1" applyFont="1" applyFill="1"/>
    <xf numFmtId="164" fontId="21" fillId="13" borderId="0" xfId="0" applyNumberFormat="1" applyFont="1" applyFill="1"/>
    <xf numFmtId="164" fontId="13" fillId="13" borderId="0" xfId="0" applyNumberFormat="1" applyFont="1" applyFill="1"/>
    <xf numFmtId="0" fontId="19" fillId="18" borderId="0" xfId="0" applyFont="1" applyFill="1"/>
    <xf numFmtId="0" fontId="0" fillId="18" borderId="0" xfId="0" applyFill="1"/>
    <xf numFmtId="0" fontId="2" fillId="18" borderId="0" xfId="0" applyFont="1" applyFill="1"/>
    <xf numFmtId="0" fontId="13" fillId="18" borderId="0" xfId="0" applyFont="1" applyFill="1"/>
    <xf numFmtId="164" fontId="0" fillId="18" borderId="0" xfId="0" applyNumberFormat="1" applyFill="1"/>
    <xf numFmtId="2" fontId="13" fillId="18" borderId="0" xfId="0" applyNumberFormat="1" applyFont="1" applyFill="1"/>
    <xf numFmtId="164" fontId="13" fillId="18" borderId="0" xfId="0" applyNumberFormat="1" applyFont="1" applyFill="1"/>
    <xf numFmtId="164" fontId="22" fillId="12" borderId="0" xfId="0" applyNumberFormat="1" applyFont="1" applyFill="1"/>
    <xf numFmtId="164" fontId="22" fillId="16" borderId="0" xfId="0" applyNumberFormat="1" applyFont="1" applyFill="1"/>
    <xf numFmtId="164" fontId="22" fillId="18" borderId="0" xfId="0" applyNumberFormat="1" applyFont="1" applyFill="1"/>
    <xf numFmtId="0" fontId="0" fillId="0" borderId="0" xfId="0" applyNumberFormat="1" applyAlignment="1">
      <alignment horizontal="center"/>
    </xf>
    <xf numFmtId="0" fontId="24" fillId="0" borderId="0" xfId="0" applyFont="1"/>
    <xf numFmtId="0" fontId="23" fillId="0" borderId="0" xfId="0" applyFont="1" applyAlignment="1">
      <alignment vertical="center"/>
    </xf>
    <xf numFmtId="2" fontId="0" fillId="0" borderId="0" xfId="0" applyNumberFormat="1"/>
    <xf numFmtId="0" fontId="2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CA56"/>
      <color rgb="FFCCFF33"/>
      <color rgb="FFABDB77"/>
      <color rgb="FFCCFF99"/>
      <color rgb="FFFFFF66"/>
      <color rgb="FFADDB7B"/>
      <color rgb="FF9CC15F"/>
      <color rgb="FFADE0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5203_Miljoraadgivning\15-010%20regneark%20til%20milj&#248;scenarier%20%20til%20BAT%20mod%202014-15%20eller%202015-16%20norm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udsætninger, foder mm"/>
      <sheetName val="oversigt udvikling miljøsvin"/>
      <sheetName val="ammoniak basis TAN 2005-06 norm"/>
      <sheetName val="NH3 2014-15"/>
      <sheetName val="NH3 2015-16"/>
      <sheetName val="NH3 2020 bedste bud"/>
      <sheetName val="NH3 2030 bedste bud"/>
    </sheetNames>
    <sheetDataSet>
      <sheetData sheetId="0">
        <row r="9">
          <cell r="A9">
            <v>30</v>
          </cell>
          <cell r="B9">
            <v>102</v>
          </cell>
        </row>
        <row r="15">
          <cell r="A15">
            <v>7.2</v>
          </cell>
          <cell r="B15">
            <v>30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140" zoomScaleNormal="140" workbookViewId="0">
      <selection activeCell="J9" sqref="J9"/>
    </sheetView>
  </sheetViews>
  <sheetFormatPr defaultRowHeight="15" x14ac:dyDescent="0.25"/>
  <cols>
    <col min="4" max="4" width="10" customWidth="1"/>
    <col min="5" max="5" width="10.28515625" customWidth="1"/>
    <col min="7" max="7" width="11.7109375" customWidth="1"/>
  </cols>
  <sheetData>
    <row r="1" spans="1:9" ht="18.75" x14ac:dyDescent="0.3">
      <c r="A1" s="61" t="s">
        <v>163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8" t="s">
        <v>295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33" t="s">
        <v>64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 t="s">
        <v>65</v>
      </c>
      <c r="B4" s="33"/>
      <c r="C4" s="13">
        <v>84</v>
      </c>
      <c r="D4" s="33" t="s">
        <v>52</v>
      </c>
      <c r="E4" s="33"/>
      <c r="F4" s="33"/>
      <c r="G4" s="33">
        <f>C4*1.31</f>
        <v>110.04</v>
      </c>
      <c r="H4" s="33" t="s">
        <v>160</v>
      </c>
      <c r="I4" s="33"/>
    </row>
    <row r="5" spans="1:9" x14ac:dyDescent="0.25">
      <c r="A5" s="22" t="s">
        <v>53</v>
      </c>
      <c r="B5" s="23"/>
      <c r="C5" s="23"/>
      <c r="D5" s="23"/>
      <c r="E5" s="23"/>
      <c r="F5" s="23"/>
      <c r="G5" s="23"/>
      <c r="H5" s="23" t="s">
        <v>36</v>
      </c>
      <c r="I5" s="23"/>
    </row>
    <row r="6" spans="1:9" x14ac:dyDescent="0.25">
      <c r="A6" s="50" t="s">
        <v>66</v>
      </c>
      <c r="B6" s="23" t="s">
        <v>32</v>
      </c>
      <c r="C6" s="23" t="s">
        <v>61</v>
      </c>
      <c r="D6" s="23" t="s">
        <v>35</v>
      </c>
      <c r="E6" s="23" t="s">
        <v>33</v>
      </c>
      <c r="F6" s="23" t="s">
        <v>34</v>
      </c>
      <c r="G6" s="23"/>
      <c r="H6" s="23" t="s">
        <v>220</v>
      </c>
      <c r="I6" s="23"/>
    </row>
    <row r="7" spans="1:9" x14ac:dyDescent="0.25">
      <c r="A7" s="12">
        <v>10000</v>
      </c>
      <c r="B7" s="13">
        <v>31</v>
      </c>
      <c r="C7" s="13">
        <v>110</v>
      </c>
      <c r="D7" s="24">
        <f>(40-B7)/4940+(87-40)/2910+(C7-87)/2000</f>
        <v>2.9473065097319031E-2</v>
      </c>
      <c r="E7" s="25">
        <f>1/D7</f>
        <v>33.929284134447329</v>
      </c>
      <c r="F7" s="25">
        <f>A7*D7</f>
        <v>294.73065097319034</v>
      </c>
      <c r="G7" s="23"/>
      <c r="H7" s="26">
        <f>IF(F7&lt;210,0.3,IF(F7&gt;750,0.21,0.3-((0.3-0.21)/540*(F7-210))))</f>
        <v>0.28587822483780162</v>
      </c>
      <c r="I7" s="23"/>
    </row>
    <row r="8" spans="1:9" x14ac:dyDescent="0.25">
      <c r="A8" s="17" t="s">
        <v>68</v>
      </c>
      <c r="B8" s="17"/>
      <c r="C8" s="17"/>
      <c r="D8" s="30"/>
      <c r="E8" s="31"/>
      <c r="F8" s="31"/>
      <c r="G8" s="17"/>
      <c r="H8" s="17"/>
      <c r="I8" s="17"/>
    </row>
    <row r="9" spans="1:9" x14ac:dyDescent="0.25">
      <c r="A9" s="17" t="s">
        <v>48</v>
      </c>
      <c r="B9" s="17">
        <v>13.92</v>
      </c>
      <c r="C9" s="17" t="s">
        <v>49</v>
      </c>
      <c r="D9" s="17">
        <v>0.16120000000000001</v>
      </c>
      <c r="E9" s="17" t="s">
        <v>51</v>
      </c>
      <c r="F9" s="17"/>
      <c r="G9" s="17">
        <v>2724.51</v>
      </c>
      <c r="H9" s="17" t="s">
        <v>50</v>
      </c>
      <c r="I9" s="17"/>
    </row>
    <row r="10" spans="1:9" x14ac:dyDescent="0.25">
      <c r="A10" s="23" t="s">
        <v>67</v>
      </c>
      <c r="B10" s="23"/>
      <c r="C10" s="23">
        <f>B7</f>
        <v>31</v>
      </c>
      <c r="D10" s="23">
        <f>C7</f>
        <v>110</v>
      </c>
      <c r="E10" s="26">
        <f>((D10-C10)*($B$9+$D$9*(D10+C10))/$G$9)</f>
        <v>1.0626816565180526</v>
      </c>
      <c r="F10" s="23"/>
      <c r="G10" s="23"/>
      <c r="H10" s="23"/>
      <c r="I10" s="23"/>
    </row>
    <row r="11" spans="1:9" x14ac:dyDescent="0.25">
      <c r="A11" s="23" t="s">
        <v>36</v>
      </c>
      <c r="B11" s="23"/>
      <c r="C11" s="23">
        <f>B7</f>
        <v>31</v>
      </c>
      <c r="D11" s="23">
        <f>C7</f>
        <v>110</v>
      </c>
      <c r="E11" s="26">
        <f>H7*E10</f>
        <v>0.30379754553307531</v>
      </c>
      <c r="F11" s="23" t="s">
        <v>38</v>
      </c>
      <c r="G11" s="23"/>
      <c r="H11" s="23"/>
      <c r="I11" s="23"/>
    </row>
    <row r="12" spans="1:9" x14ac:dyDescent="0.25">
      <c r="A12" s="17" t="s">
        <v>37</v>
      </c>
      <c r="B12" s="17"/>
      <c r="C12" s="17"/>
      <c r="D12" s="17"/>
      <c r="E12" s="19">
        <f>A7*E11</f>
        <v>3037.975455330753</v>
      </c>
      <c r="F12" s="17" t="s">
        <v>38</v>
      </c>
      <c r="G12" s="17"/>
      <c r="H12" s="17"/>
      <c r="I12" s="17"/>
    </row>
    <row r="13" spans="1:9" x14ac:dyDescent="0.25">
      <c r="A13" s="15"/>
      <c r="B13" s="15"/>
      <c r="C13" s="15"/>
      <c r="D13" s="15"/>
      <c r="E13" s="20"/>
      <c r="F13" s="15"/>
      <c r="G13" s="15"/>
      <c r="H13" s="15"/>
      <c r="I13" s="15"/>
    </row>
    <row r="14" spans="1:9" x14ac:dyDescent="0.25">
      <c r="A14" s="18" t="s">
        <v>60</v>
      </c>
      <c r="B14" s="17"/>
      <c r="C14" s="17"/>
      <c r="D14" s="17"/>
      <c r="E14" s="17"/>
      <c r="F14" s="17"/>
      <c r="G14" s="17" t="s">
        <v>46</v>
      </c>
      <c r="H14" s="17"/>
      <c r="I14" s="17"/>
    </row>
    <row r="15" spans="1:9" x14ac:dyDescent="0.25">
      <c r="A15" s="17"/>
      <c r="B15" s="17"/>
      <c r="C15" s="17" t="s">
        <v>41</v>
      </c>
      <c r="D15" s="17" t="s">
        <v>5</v>
      </c>
      <c r="E15" s="17" t="s">
        <v>31</v>
      </c>
      <c r="F15" s="17" t="s">
        <v>44</v>
      </c>
      <c r="G15" s="17" t="s">
        <v>42</v>
      </c>
      <c r="H15" s="155" t="s">
        <v>43</v>
      </c>
      <c r="I15" s="17"/>
    </row>
    <row r="16" spans="1:9" x14ac:dyDescent="0.25">
      <c r="A16" s="23" t="s">
        <v>69</v>
      </c>
      <c r="B16" s="23"/>
      <c r="C16" s="13">
        <v>31</v>
      </c>
      <c r="D16" s="13">
        <v>110</v>
      </c>
      <c r="E16" s="13">
        <v>1000</v>
      </c>
      <c r="F16" s="26">
        <f>((D16-C16)*($B$9+$D$9*(C16+D16))/$G$9)</f>
        <v>1.0626816565180526</v>
      </c>
      <c r="G16" s="50">
        <v>0.45</v>
      </c>
      <c r="H16" s="156">
        <f>G16*F16*E16</f>
        <v>478.20674543312367</v>
      </c>
      <c r="I16" s="23" t="s">
        <v>46</v>
      </c>
    </row>
    <row r="17" spans="1:12" x14ac:dyDescent="0.25">
      <c r="A17" s="23" t="s">
        <v>70</v>
      </c>
      <c r="B17" s="23"/>
      <c r="C17" s="13">
        <v>31</v>
      </c>
      <c r="D17" s="13">
        <v>110</v>
      </c>
      <c r="E17" s="13">
        <v>1000</v>
      </c>
      <c r="F17" s="26">
        <f t="shared" ref="F17:F19" si="0">((D17-C17)*($B$9+$D$9*(C17+D17))/$G$9)</f>
        <v>1.0626816565180526</v>
      </c>
      <c r="G17" s="50">
        <v>0.4</v>
      </c>
      <c r="H17" s="156">
        <f t="shared" ref="H17:H19" si="1">G17*F17*E17</f>
        <v>425.07266260722105</v>
      </c>
      <c r="I17" s="23" t="s">
        <v>46</v>
      </c>
    </row>
    <row r="18" spans="1:12" x14ac:dyDescent="0.25">
      <c r="A18" s="23" t="s">
        <v>39</v>
      </c>
      <c r="B18" s="23"/>
      <c r="C18" s="13">
        <v>31</v>
      </c>
      <c r="D18" s="13">
        <v>110</v>
      </c>
      <c r="E18" s="13">
        <v>1000</v>
      </c>
      <c r="F18" s="26">
        <f t="shared" si="0"/>
        <v>1.0626816565180526</v>
      </c>
      <c r="G18" s="50">
        <v>0.36</v>
      </c>
      <c r="H18" s="156">
        <f t="shared" si="1"/>
        <v>382.56539634649891</v>
      </c>
      <c r="I18" s="23" t="s">
        <v>46</v>
      </c>
    </row>
    <row r="19" spans="1:12" x14ac:dyDescent="0.25">
      <c r="A19" s="23" t="s">
        <v>40</v>
      </c>
      <c r="B19" s="23"/>
      <c r="C19" s="13">
        <v>31</v>
      </c>
      <c r="D19" s="13">
        <v>110</v>
      </c>
      <c r="E19" s="13">
        <v>1000</v>
      </c>
      <c r="F19" s="26">
        <f t="shared" si="0"/>
        <v>1.0626816565180526</v>
      </c>
      <c r="G19" s="50">
        <v>0.31</v>
      </c>
      <c r="H19" s="156">
        <f t="shared" si="1"/>
        <v>329.43131352059629</v>
      </c>
      <c r="I19" s="23" t="s">
        <v>46</v>
      </c>
    </row>
    <row r="20" spans="1:12" x14ac:dyDescent="0.25">
      <c r="A20" s="17" t="s">
        <v>45</v>
      </c>
      <c r="B20" s="17"/>
      <c r="C20" s="17"/>
      <c r="D20" s="17"/>
      <c r="E20" s="17"/>
      <c r="F20" s="17"/>
      <c r="G20" s="17"/>
      <c r="H20" s="157">
        <f>SUM(H16:H19)</f>
        <v>1615.27611790744</v>
      </c>
      <c r="I20" s="17" t="s">
        <v>46</v>
      </c>
    </row>
    <row r="21" spans="1:12" x14ac:dyDescent="0.25">
      <c r="A21" s="15"/>
      <c r="B21" s="15"/>
      <c r="C21" s="15"/>
      <c r="D21" s="15"/>
      <c r="E21" s="15"/>
      <c r="F21" s="15"/>
      <c r="G21" s="15"/>
      <c r="H21" s="15"/>
      <c r="I21" s="15"/>
    </row>
    <row r="22" spans="1:12" x14ac:dyDescent="0.25">
      <c r="A22" s="17" t="s">
        <v>58</v>
      </c>
      <c r="B22" s="17"/>
      <c r="C22" s="17"/>
      <c r="D22" s="17"/>
      <c r="E22" s="17"/>
      <c r="F22" s="17"/>
      <c r="G22" s="19"/>
      <c r="H22" s="21">
        <f>E12+H20</f>
        <v>4653.2515732381926</v>
      </c>
      <c r="I22" s="17" t="s">
        <v>46</v>
      </c>
    </row>
    <row r="25" spans="1:12" x14ac:dyDescent="0.25">
      <c r="A25" s="76" t="s">
        <v>56</v>
      </c>
      <c r="B25" s="27"/>
      <c r="C25" s="27"/>
      <c r="D25" s="27"/>
      <c r="E25" s="27"/>
      <c r="F25" s="27"/>
      <c r="G25" s="27"/>
      <c r="H25" s="27"/>
      <c r="I25" s="27"/>
    </row>
    <row r="26" spans="1:12" x14ac:dyDescent="0.25">
      <c r="A26" s="35" t="s">
        <v>161</v>
      </c>
      <c r="B26" s="11"/>
      <c r="C26" s="11"/>
      <c r="D26" s="11"/>
      <c r="E26" s="11"/>
      <c r="F26" s="11"/>
      <c r="G26" s="11"/>
      <c r="H26" s="11" t="s">
        <v>54</v>
      </c>
      <c r="I26" s="11"/>
    </row>
    <row r="27" spans="1:12" x14ac:dyDescent="0.25">
      <c r="A27" s="46" t="s">
        <v>66</v>
      </c>
      <c r="B27" s="11" t="s">
        <v>32</v>
      </c>
      <c r="C27" s="11" t="s">
        <v>72</v>
      </c>
      <c r="D27" s="46" t="s">
        <v>35</v>
      </c>
      <c r="E27" s="46" t="s">
        <v>33</v>
      </c>
      <c r="F27" s="46" t="s">
        <v>34</v>
      </c>
      <c r="G27" s="11"/>
      <c r="H27" s="11" t="s">
        <v>221</v>
      </c>
      <c r="I27" s="11"/>
    </row>
    <row r="28" spans="1:12" x14ac:dyDescent="0.25">
      <c r="A28" s="12">
        <v>300000</v>
      </c>
      <c r="B28" s="12">
        <v>7.1</v>
      </c>
      <c r="C28" s="12">
        <v>31</v>
      </c>
      <c r="D28" s="153">
        <f>(C28-B28)/4940</f>
        <v>4.8380566801619427E-3</v>
      </c>
      <c r="E28" s="154">
        <f>1/D28</f>
        <v>206.69456066945608</v>
      </c>
      <c r="F28" s="154">
        <f>A28*D28</f>
        <v>1451.4170040485828</v>
      </c>
      <c r="G28" s="11"/>
      <c r="H28" s="41">
        <f>IF(F28&lt;250,0.0366,IF(F28&gt;750,0.0326,0.0366-((0.0366-0.0326)/500*(F28-250))))</f>
        <v>3.2599999999999997E-2</v>
      </c>
      <c r="I28" s="11"/>
    </row>
    <row r="29" spans="1:12" x14ac:dyDescent="0.25">
      <c r="A29" s="27" t="s">
        <v>47</v>
      </c>
      <c r="B29" s="27"/>
      <c r="C29" s="27"/>
      <c r="D29" s="28"/>
      <c r="E29" s="29"/>
      <c r="F29" s="29"/>
      <c r="G29" s="27"/>
      <c r="H29" s="27"/>
      <c r="I29" s="27"/>
      <c r="L29" t="s">
        <v>110</v>
      </c>
    </row>
    <row r="30" spans="1:12" x14ac:dyDescent="0.25">
      <c r="A30" s="11" t="s">
        <v>48</v>
      </c>
      <c r="B30" s="46">
        <v>13.92</v>
      </c>
      <c r="C30" s="11" t="s">
        <v>49</v>
      </c>
      <c r="D30" s="46">
        <v>0.16120000000000001</v>
      </c>
      <c r="E30" s="11" t="s">
        <v>55</v>
      </c>
      <c r="F30" s="11"/>
      <c r="G30" s="49">
        <v>498.67</v>
      </c>
      <c r="H30" s="11" t="s">
        <v>73</v>
      </c>
      <c r="I30" s="11"/>
    </row>
    <row r="31" spans="1:12" x14ac:dyDescent="0.25">
      <c r="A31" s="11" t="s">
        <v>67</v>
      </c>
      <c r="B31" s="11"/>
      <c r="C31" s="11">
        <f>B28</f>
        <v>7.1</v>
      </c>
      <c r="D31" s="11">
        <f>C28</f>
        <v>31</v>
      </c>
      <c r="E31" s="41">
        <f>((D31-C31)*($B$30+$D$30*(D31+C31))/$G$30)</f>
        <v>0.96150782681933933</v>
      </c>
      <c r="F31" s="11"/>
      <c r="G31" s="11"/>
      <c r="H31" s="11"/>
      <c r="I31" s="11"/>
    </row>
    <row r="32" spans="1:12" x14ac:dyDescent="0.25">
      <c r="A32" s="11" t="s">
        <v>54</v>
      </c>
      <c r="B32" s="11"/>
      <c r="C32" s="11">
        <f>B28</f>
        <v>7.1</v>
      </c>
      <c r="D32" s="11">
        <f>C28</f>
        <v>31</v>
      </c>
      <c r="E32" s="41">
        <f>H28*E31</f>
        <v>3.134515515431046E-2</v>
      </c>
      <c r="F32" s="11" t="s">
        <v>38</v>
      </c>
      <c r="G32" s="11"/>
      <c r="H32" s="11"/>
      <c r="I32" s="11"/>
    </row>
    <row r="33" spans="1:10" x14ac:dyDescent="0.25">
      <c r="A33" s="27" t="s">
        <v>37</v>
      </c>
      <c r="B33" s="27"/>
      <c r="C33" s="27"/>
      <c r="D33" s="27"/>
      <c r="E33" s="119">
        <f>A28*E32</f>
        <v>9403.5465462931388</v>
      </c>
      <c r="F33" s="27" t="s">
        <v>38</v>
      </c>
      <c r="G33" s="27"/>
      <c r="H33" s="27"/>
      <c r="I33" s="27"/>
    </row>
    <row r="34" spans="1:10" x14ac:dyDescent="0.25">
      <c r="A34" s="15"/>
      <c r="B34" s="15"/>
      <c r="C34" s="15"/>
      <c r="D34" s="15"/>
      <c r="E34" s="20"/>
      <c r="F34" s="15"/>
      <c r="G34" s="15"/>
      <c r="H34" s="15"/>
      <c r="I34" s="15"/>
    </row>
    <row r="35" spans="1:10" x14ac:dyDescent="0.25">
      <c r="A35" s="36" t="s">
        <v>59</v>
      </c>
      <c r="B35" s="37"/>
      <c r="C35" s="37"/>
      <c r="D35" s="37"/>
      <c r="E35" s="37"/>
      <c r="F35" s="37"/>
      <c r="G35" s="51" t="s">
        <v>46</v>
      </c>
      <c r="H35" s="37"/>
      <c r="I35" s="37"/>
    </row>
    <row r="36" spans="1:10" x14ac:dyDescent="0.25">
      <c r="A36" s="11"/>
      <c r="B36" s="11"/>
      <c r="C36" s="46" t="s">
        <v>41</v>
      </c>
      <c r="D36" s="46" t="s">
        <v>5</v>
      </c>
      <c r="E36" s="46" t="s">
        <v>162</v>
      </c>
      <c r="F36" s="11" t="s">
        <v>44</v>
      </c>
      <c r="G36" s="46" t="s">
        <v>63</v>
      </c>
      <c r="H36" s="49" t="s">
        <v>43</v>
      </c>
      <c r="I36" s="11"/>
    </row>
    <row r="37" spans="1:10" x14ac:dyDescent="0.25">
      <c r="A37" s="11" t="s">
        <v>69</v>
      </c>
      <c r="B37" s="11"/>
      <c r="C37" s="12">
        <v>7.1</v>
      </c>
      <c r="D37" s="12">
        <v>31</v>
      </c>
      <c r="E37" s="12">
        <v>1000</v>
      </c>
      <c r="F37" s="41">
        <f>((D37-C37)*($B$30+$D$30*(C37+D37))/$G$30)</f>
        <v>0.96150782681933933</v>
      </c>
      <c r="G37" s="46">
        <v>9.0999999999999998E-2</v>
      </c>
      <c r="H37" s="48">
        <f>G37*F37*E37</f>
        <v>87.497212240559875</v>
      </c>
      <c r="I37" s="49" t="s">
        <v>46</v>
      </c>
    </row>
    <row r="38" spans="1:10" x14ac:dyDescent="0.25">
      <c r="A38" s="11" t="s">
        <v>70</v>
      </c>
      <c r="B38" s="11"/>
      <c r="C38" s="12">
        <v>7.1</v>
      </c>
      <c r="D38" s="12">
        <v>31</v>
      </c>
      <c r="E38" s="12">
        <v>1000</v>
      </c>
      <c r="F38" s="41">
        <f t="shared" ref="F38:F39" si="2">((D38-C38)*($B$30+$D$30*(C38+D38))/$G$30)</f>
        <v>0.96150782681933933</v>
      </c>
      <c r="G38" s="46">
        <v>8.1000000000000003E-2</v>
      </c>
      <c r="H38" s="48">
        <f t="shared" ref="H38:H39" si="3">G38*F38*E38</f>
        <v>77.882133972366489</v>
      </c>
      <c r="I38" s="49" t="s">
        <v>46</v>
      </c>
    </row>
    <row r="39" spans="1:10" x14ac:dyDescent="0.25">
      <c r="A39" s="11" t="s">
        <v>71</v>
      </c>
      <c r="B39" s="11"/>
      <c r="C39" s="12">
        <v>7.1</v>
      </c>
      <c r="D39" s="12">
        <v>31</v>
      </c>
      <c r="E39" s="12">
        <v>1000</v>
      </c>
      <c r="F39" s="41">
        <f t="shared" si="2"/>
        <v>0.96150782681933933</v>
      </c>
      <c r="G39" s="46">
        <v>4.2999999999999997E-2</v>
      </c>
      <c r="H39" s="48">
        <f t="shared" si="3"/>
        <v>41.344836553231588</v>
      </c>
      <c r="I39" s="49" t="s">
        <v>46</v>
      </c>
    </row>
    <row r="40" spans="1:10" x14ac:dyDescent="0.25">
      <c r="A40" s="37" t="s">
        <v>45</v>
      </c>
      <c r="B40" s="37"/>
      <c r="C40" s="37"/>
      <c r="D40" s="37"/>
      <c r="E40" s="37"/>
      <c r="F40" s="37"/>
      <c r="G40" s="37"/>
      <c r="H40" s="53">
        <f>SUM(H37:H39)</f>
        <v>206.72418276615792</v>
      </c>
      <c r="I40" s="54" t="s">
        <v>46</v>
      </c>
    </row>
    <row r="41" spans="1:10" x14ac:dyDescent="0.25">
      <c r="A41" s="15"/>
      <c r="B41" s="15"/>
      <c r="C41" s="15"/>
      <c r="D41" s="15"/>
      <c r="E41" s="15"/>
      <c r="F41" s="15"/>
      <c r="G41" s="15"/>
      <c r="H41" s="15"/>
      <c r="I41" s="15"/>
    </row>
    <row r="42" spans="1:10" x14ac:dyDescent="0.25">
      <c r="A42" s="42" t="s">
        <v>57</v>
      </c>
      <c r="B42" s="42"/>
      <c r="C42" s="42"/>
      <c r="D42" s="42"/>
      <c r="E42" s="42"/>
      <c r="F42" s="42"/>
      <c r="G42" s="43"/>
      <c r="H42" s="44">
        <f>E33+H40</f>
        <v>9610.2707290592971</v>
      </c>
      <c r="I42" s="42" t="s">
        <v>46</v>
      </c>
      <c r="J42" s="93"/>
    </row>
  </sheetData>
  <sheetProtection password="DEC8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1" zoomScale="140" zoomScaleNormal="140" workbookViewId="0">
      <selection activeCell="C8" sqref="C8"/>
    </sheetView>
  </sheetViews>
  <sheetFormatPr defaultRowHeight="15" x14ac:dyDescent="0.25"/>
  <cols>
    <col min="4" max="4" width="10" customWidth="1"/>
    <col min="5" max="5" width="10.28515625" customWidth="1"/>
    <col min="7" max="7" width="11.7109375" customWidth="1"/>
  </cols>
  <sheetData>
    <row r="1" spans="1:11" ht="18.75" x14ac:dyDescent="0.3">
      <c r="A1" s="61" t="s">
        <v>166</v>
      </c>
      <c r="B1" s="17"/>
      <c r="C1" s="17"/>
      <c r="D1" s="17"/>
      <c r="E1" s="17"/>
      <c r="F1" s="17"/>
      <c r="G1" s="17"/>
      <c r="H1" s="17"/>
      <c r="I1" s="17"/>
    </row>
    <row r="2" spans="1:11" x14ac:dyDescent="0.25">
      <c r="A2" s="18" t="s">
        <v>167</v>
      </c>
      <c r="B2" s="17"/>
      <c r="C2" s="17"/>
      <c r="D2" s="17"/>
      <c r="E2" s="17"/>
      <c r="F2" s="17"/>
      <c r="G2" s="17"/>
      <c r="H2" s="17"/>
      <c r="I2" s="17"/>
    </row>
    <row r="3" spans="1:11" x14ac:dyDescent="0.25">
      <c r="A3" s="33" t="s">
        <v>64</v>
      </c>
      <c r="B3" s="33"/>
      <c r="C3" s="33"/>
      <c r="D3" s="33"/>
      <c r="E3" s="33"/>
      <c r="F3" s="33"/>
      <c r="G3" s="33"/>
      <c r="H3" s="33"/>
      <c r="I3" s="33"/>
    </row>
    <row r="4" spans="1:11" x14ac:dyDescent="0.25">
      <c r="A4" s="33" t="s">
        <v>65</v>
      </c>
      <c r="B4" s="33"/>
      <c r="C4" s="13">
        <v>84</v>
      </c>
      <c r="D4" s="33" t="s">
        <v>52</v>
      </c>
      <c r="E4" s="33"/>
      <c r="F4" s="33"/>
      <c r="G4" s="33">
        <f>C4*1.31</f>
        <v>110.04</v>
      </c>
      <c r="H4" s="33" t="s">
        <v>160</v>
      </c>
      <c r="I4" s="33"/>
    </row>
    <row r="5" spans="1:11" x14ac:dyDescent="0.25">
      <c r="A5" s="22" t="s">
        <v>168</v>
      </c>
      <c r="B5" s="23"/>
      <c r="C5" s="23"/>
      <c r="D5" s="23"/>
      <c r="E5" s="23"/>
      <c r="F5" s="23"/>
      <c r="G5" s="23"/>
      <c r="H5" s="23"/>
      <c r="I5" s="23"/>
    </row>
    <row r="6" spans="1:11" x14ac:dyDescent="0.25">
      <c r="A6" s="50" t="s">
        <v>66</v>
      </c>
      <c r="B6" s="23" t="s">
        <v>32</v>
      </c>
      <c r="C6" s="23" t="s">
        <v>61</v>
      </c>
      <c r="D6" s="23"/>
      <c r="E6" s="142" t="s">
        <v>169</v>
      </c>
      <c r="F6" s="23"/>
      <c r="G6" s="33" t="s">
        <v>181</v>
      </c>
      <c r="H6" s="33"/>
      <c r="I6" s="23"/>
    </row>
    <row r="7" spans="1:11" x14ac:dyDescent="0.25">
      <c r="A7" s="12">
        <v>10000</v>
      </c>
      <c r="B7" s="13">
        <v>31</v>
      </c>
      <c r="C7" s="13">
        <v>110</v>
      </c>
      <c r="D7" s="24"/>
      <c r="E7" s="25">
        <v>0.28000000000000003</v>
      </c>
      <c r="F7" s="25" t="s">
        <v>46</v>
      </c>
      <c r="G7" s="143">
        <f>E7*E10</f>
        <v>0.3206660032478077</v>
      </c>
      <c r="H7" s="33" t="s">
        <v>46</v>
      </c>
      <c r="I7" s="23"/>
    </row>
    <row r="8" spans="1:11" x14ac:dyDescent="0.25">
      <c r="A8" s="17" t="s">
        <v>68</v>
      </c>
      <c r="B8" s="17"/>
      <c r="C8" s="17"/>
      <c r="D8" s="30"/>
      <c r="E8" s="31"/>
      <c r="F8" s="31"/>
      <c r="G8" s="17"/>
      <c r="H8" s="17"/>
      <c r="I8" s="17"/>
    </row>
    <row r="9" spans="1:11" x14ac:dyDescent="0.25">
      <c r="A9" s="23" t="s">
        <v>48</v>
      </c>
      <c r="B9" s="23">
        <v>15.42</v>
      </c>
      <c r="C9" s="23" t="s">
        <v>49</v>
      </c>
      <c r="D9" s="23">
        <v>0.2072</v>
      </c>
      <c r="E9" s="23" t="s">
        <v>170</v>
      </c>
      <c r="F9" s="23"/>
      <c r="G9" s="23">
        <v>3079</v>
      </c>
      <c r="H9" s="23" t="s">
        <v>50</v>
      </c>
      <c r="I9" s="23"/>
    </row>
    <row r="10" spans="1:11" x14ac:dyDescent="0.25">
      <c r="A10" s="23" t="s">
        <v>171</v>
      </c>
      <c r="B10" s="23"/>
      <c r="C10" s="23">
        <f>B7</f>
        <v>31</v>
      </c>
      <c r="D10" s="23">
        <f>C7</f>
        <v>110</v>
      </c>
      <c r="E10" s="26">
        <f>((D10-C10)*($B$9+$D$9*(D10+C10))/$G$9)</f>
        <v>1.1452357258850274</v>
      </c>
      <c r="F10" s="23" t="s">
        <v>174</v>
      </c>
      <c r="G10" s="23"/>
      <c r="H10" s="23"/>
      <c r="I10" s="23"/>
    </row>
    <row r="11" spans="1:11" x14ac:dyDescent="0.25">
      <c r="A11" s="17" t="s">
        <v>172</v>
      </c>
      <c r="B11" s="17"/>
      <c r="C11" s="17"/>
      <c r="D11" s="17"/>
      <c r="E11" s="158"/>
      <c r="F11" s="17"/>
      <c r="G11" s="19">
        <f>A7*G7</f>
        <v>3206.660032478077</v>
      </c>
      <c r="H11" s="17" t="s">
        <v>46</v>
      </c>
      <c r="I11" s="17"/>
    </row>
    <row r="12" spans="1:11" x14ac:dyDescent="0.25">
      <c r="A12" s="15"/>
      <c r="B12" s="15"/>
      <c r="C12" s="15"/>
      <c r="D12" s="15"/>
      <c r="E12" s="20"/>
      <c r="F12" s="15"/>
      <c r="G12" s="15"/>
      <c r="H12" s="15"/>
      <c r="I12" s="15"/>
    </row>
    <row r="13" spans="1:11" x14ac:dyDescent="0.25">
      <c r="A13" s="18" t="s">
        <v>173</v>
      </c>
      <c r="B13" s="17"/>
      <c r="C13" s="17"/>
      <c r="D13" s="17"/>
      <c r="E13" s="17"/>
      <c r="F13" s="17"/>
      <c r="G13" s="17" t="s">
        <v>179</v>
      </c>
      <c r="H13" s="17" t="s">
        <v>177</v>
      </c>
      <c r="I13" s="17"/>
    </row>
    <row r="14" spans="1:11" x14ac:dyDescent="0.25">
      <c r="A14" s="17"/>
      <c r="B14" s="17"/>
      <c r="C14" s="17" t="s">
        <v>41</v>
      </c>
      <c r="D14" s="17" t="s">
        <v>5</v>
      </c>
      <c r="E14" s="17" t="s">
        <v>31</v>
      </c>
      <c r="F14" s="17" t="s">
        <v>44</v>
      </c>
      <c r="G14" s="17" t="s">
        <v>189</v>
      </c>
      <c r="H14" s="155" t="s">
        <v>178</v>
      </c>
      <c r="I14" s="17"/>
      <c r="K14" s="15"/>
    </row>
    <row r="15" spans="1:11" x14ac:dyDescent="0.25">
      <c r="A15" s="23" t="s">
        <v>69</v>
      </c>
      <c r="B15" s="23"/>
      <c r="C15" s="13">
        <v>31</v>
      </c>
      <c r="D15" s="13">
        <v>110</v>
      </c>
      <c r="E15" s="13">
        <v>1000</v>
      </c>
      <c r="F15" s="26">
        <f>((D15-C15)*($B$9+$D$9*(C15+D15))/$G$9)</f>
        <v>1.1452357258850274</v>
      </c>
      <c r="G15" s="50">
        <v>0.54100000000000004</v>
      </c>
      <c r="H15" s="156">
        <f>G15*F15*E15</f>
        <v>619.57252770379989</v>
      </c>
      <c r="I15" s="23" t="s">
        <v>46</v>
      </c>
    </row>
    <row r="16" spans="1:11" x14ac:dyDescent="0.25">
      <c r="A16" s="23" t="s">
        <v>70</v>
      </c>
      <c r="B16" s="23"/>
      <c r="C16" s="13">
        <v>31</v>
      </c>
      <c r="D16" s="13">
        <v>110</v>
      </c>
      <c r="E16" s="13">
        <v>1000</v>
      </c>
      <c r="F16" s="26">
        <f t="shared" ref="F16:F18" si="0">((D16-C16)*($B$9+$D$9*(C16+D16))/$G$9)</f>
        <v>1.1452357258850274</v>
      </c>
      <c r="G16" s="159">
        <v>0.48</v>
      </c>
      <c r="H16" s="156">
        <f t="shared" ref="H16:H18" si="1">G16*F16*E16</f>
        <v>549.71314842481308</v>
      </c>
      <c r="I16" s="23" t="s">
        <v>46</v>
      </c>
    </row>
    <row r="17" spans="1:12" x14ac:dyDescent="0.25">
      <c r="A17" s="23" t="s">
        <v>39</v>
      </c>
      <c r="B17" s="23"/>
      <c r="C17" s="13">
        <v>31</v>
      </c>
      <c r="D17" s="13">
        <v>110</v>
      </c>
      <c r="E17" s="13">
        <v>1000</v>
      </c>
      <c r="F17" s="26">
        <f t="shared" si="0"/>
        <v>1.1452357258850274</v>
      </c>
      <c r="G17" s="50">
        <v>0.39900000000000002</v>
      </c>
      <c r="H17" s="156">
        <f t="shared" si="1"/>
        <v>456.94905462812596</v>
      </c>
      <c r="I17" s="23" t="s">
        <v>46</v>
      </c>
    </row>
    <row r="18" spans="1:12" x14ac:dyDescent="0.25">
      <c r="A18" s="23" t="s">
        <v>40</v>
      </c>
      <c r="B18" s="23"/>
      <c r="C18" s="13">
        <v>31</v>
      </c>
      <c r="D18" s="13">
        <v>110</v>
      </c>
      <c r="E18" s="13">
        <v>1000</v>
      </c>
      <c r="F18" s="26">
        <f t="shared" si="0"/>
        <v>1.1452357258850274</v>
      </c>
      <c r="G18" s="50">
        <v>0.317</v>
      </c>
      <c r="H18" s="156">
        <f t="shared" si="1"/>
        <v>363.03972510555371</v>
      </c>
      <c r="I18" s="23" t="s">
        <v>46</v>
      </c>
    </row>
    <row r="19" spans="1:12" x14ac:dyDescent="0.25">
      <c r="A19" s="23" t="s">
        <v>175</v>
      </c>
      <c r="B19" s="23"/>
      <c r="C19" s="23"/>
      <c r="D19" s="23"/>
      <c r="E19" s="23"/>
      <c r="F19" s="23"/>
      <c r="G19" s="23"/>
      <c r="H19" s="156">
        <f>SUM(H15:H18)</f>
        <v>1989.2744558622926</v>
      </c>
      <c r="I19" s="23" t="s">
        <v>46</v>
      </c>
    </row>
    <row r="20" spans="1:12" x14ac:dyDescent="0.25">
      <c r="A20" s="17" t="s">
        <v>176</v>
      </c>
      <c r="B20" s="17"/>
      <c r="C20" s="17"/>
      <c r="D20" s="17"/>
      <c r="E20" s="17"/>
      <c r="F20" s="17"/>
      <c r="G20" s="19"/>
      <c r="H20" s="21">
        <f>G11+H19</f>
        <v>5195.9344883403701</v>
      </c>
      <c r="I20" s="17" t="s">
        <v>46</v>
      </c>
    </row>
    <row r="21" spans="1:12" x14ac:dyDescent="0.25">
      <c r="A21" s="15" t="s">
        <v>180</v>
      </c>
    </row>
    <row r="23" spans="1:12" x14ac:dyDescent="0.25">
      <c r="A23" s="76" t="s">
        <v>183</v>
      </c>
      <c r="B23" s="27"/>
      <c r="C23" s="27"/>
      <c r="D23" s="27"/>
      <c r="E23" s="27"/>
      <c r="F23" s="27"/>
      <c r="G23" s="27"/>
      <c r="H23" s="27"/>
      <c r="I23" s="27"/>
    </row>
    <row r="24" spans="1:12" x14ac:dyDescent="0.25">
      <c r="A24" s="51" t="s">
        <v>66</v>
      </c>
      <c r="B24" s="37" t="s">
        <v>32</v>
      </c>
      <c r="C24" s="37" t="s">
        <v>72</v>
      </c>
      <c r="D24" s="51"/>
      <c r="E24" s="144" t="s">
        <v>182</v>
      </c>
      <c r="F24" s="37"/>
      <c r="G24" s="11" t="s">
        <v>184</v>
      </c>
      <c r="H24" s="11"/>
      <c r="I24" s="11"/>
    </row>
    <row r="25" spans="1:12" x14ac:dyDescent="0.25">
      <c r="A25" s="12">
        <v>10000</v>
      </c>
      <c r="B25" s="12">
        <v>7.1</v>
      </c>
      <c r="C25" s="12">
        <v>31</v>
      </c>
      <c r="D25" s="38"/>
      <c r="E25" s="145">
        <v>3.3000000000000002E-2</v>
      </c>
      <c r="F25" s="39" t="s">
        <v>46</v>
      </c>
      <c r="G25" s="163">
        <f>E25*E28</f>
        <v>3.4891848546489572E-2</v>
      </c>
      <c r="H25" s="11" t="s">
        <v>46</v>
      </c>
      <c r="I25" s="11"/>
    </row>
    <row r="26" spans="1:12" x14ac:dyDescent="0.25">
      <c r="A26" s="27" t="s">
        <v>47</v>
      </c>
      <c r="B26" s="27"/>
      <c r="C26" s="27"/>
      <c r="D26" s="28"/>
      <c r="E26" s="29"/>
      <c r="F26" s="29"/>
      <c r="G26" s="27"/>
      <c r="H26" s="27"/>
      <c r="I26" s="27"/>
      <c r="L26" t="s">
        <v>110</v>
      </c>
    </row>
    <row r="27" spans="1:12" x14ac:dyDescent="0.25">
      <c r="A27" s="37" t="s">
        <v>48</v>
      </c>
      <c r="B27" s="51">
        <v>15.42</v>
      </c>
      <c r="C27" s="37" t="s">
        <v>49</v>
      </c>
      <c r="D27" s="51">
        <v>0.2072</v>
      </c>
      <c r="E27" s="37" t="s">
        <v>185</v>
      </c>
      <c r="F27" s="37"/>
      <c r="G27" s="54">
        <v>527</v>
      </c>
      <c r="H27" s="37" t="s">
        <v>73</v>
      </c>
      <c r="I27" s="37"/>
    </row>
    <row r="28" spans="1:12" x14ac:dyDescent="0.25">
      <c r="A28" s="37" t="s">
        <v>67</v>
      </c>
      <c r="B28" s="37"/>
      <c r="C28" s="37">
        <f>B25</f>
        <v>7.1</v>
      </c>
      <c r="D28" s="37">
        <f>C25</f>
        <v>31</v>
      </c>
      <c r="E28" s="40">
        <f>((D28-C28)*($B$27+$D$27*(D28+C28))/$G$27)</f>
        <v>1.0573287438330172</v>
      </c>
      <c r="F28" s="37"/>
      <c r="G28" s="37"/>
      <c r="H28" s="37"/>
      <c r="I28" s="37"/>
    </row>
    <row r="29" spans="1:12" x14ac:dyDescent="0.25">
      <c r="A29" s="27" t="s">
        <v>172</v>
      </c>
      <c r="B29" s="27"/>
      <c r="C29" s="27"/>
      <c r="D29" s="27"/>
      <c r="E29" s="162"/>
      <c r="F29" s="27"/>
      <c r="G29" s="119">
        <f>A25*G25</f>
        <v>348.9184854648957</v>
      </c>
      <c r="H29" s="27" t="s">
        <v>46</v>
      </c>
      <c r="I29" s="27"/>
    </row>
    <row r="30" spans="1:12" x14ac:dyDescent="0.25">
      <c r="A30" s="15"/>
      <c r="B30" s="15"/>
      <c r="C30" s="15"/>
      <c r="D30" s="15"/>
      <c r="E30" s="72"/>
      <c r="F30" s="15"/>
      <c r="G30" s="20"/>
      <c r="H30" s="15"/>
      <c r="I30" s="15"/>
    </row>
    <row r="31" spans="1:12" x14ac:dyDescent="0.25">
      <c r="A31" s="76" t="s">
        <v>186</v>
      </c>
      <c r="B31" s="27"/>
      <c r="C31" s="27"/>
      <c r="D31" s="27"/>
      <c r="E31" s="119"/>
      <c r="F31" s="27"/>
      <c r="G31" s="27"/>
      <c r="H31" s="27"/>
      <c r="I31" s="27"/>
    </row>
    <row r="32" spans="1:12" x14ac:dyDescent="0.25">
      <c r="A32" s="36"/>
      <c r="B32" s="37"/>
      <c r="C32" s="37"/>
      <c r="D32" s="37"/>
      <c r="E32" s="37"/>
      <c r="F32" s="37"/>
      <c r="G32" s="51" t="s">
        <v>187</v>
      </c>
      <c r="H32" s="37"/>
      <c r="I32" s="37"/>
    </row>
    <row r="33" spans="1:9" x14ac:dyDescent="0.25">
      <c r="A33" s="37"/>
      <c r="B33" s="37"/>
      <c r="C33" s="51" t="s">
        <v>41</v>
      </c>
      <c r="D33" s="51" t="s">
        <v>5</v>
      </c>
      <c r="E33" s="51" t="s">
        <v>162</v>
      </c>
      <c r="F33" s="37" t="s">
        <v>44</v>
      </c>
      <c r="G33" s="51" t="s">
        <v>188</v>
      </c>
      <c r="H33" s="144" t="s">
        <v>190</v>
      </c>
      <c r="I33" s="37"/>
    </row>
    <row r="34" spans="1:9" x14ac:dyDescent="0.25">
      <c r="A34" s="37" t="s">
        <v>69</v>
      </c>
      <c r="B34" s="37"/>
      <c r="C34" s="12">
        <v>7.1</v>
      </c>
      <c r="D34" s="12">
        <v>31</v>
      </c>
      <c r="E34" s="12">
        <v>1000</v>
      </c>
      <c r="F34" s="40">
        <f>((D34-C34)*($B$27+$D$27*(C34+D34))/$G$27)</f>
        <v>1.0573287438330172</v>
      </c>
      <c r="G34" s="51">
        <v>8.5999999999999993E-2</v>
      </c>
      <c r="H34" s="53">
        <f>G34*F34*E34</f>
        <v>90.930271969639477</v>
      </c>
      <c r="I34" s="54" t="s">
        <v>46</v>
      </c>
    </row>
    <row r="35" spans="1:9" x14ac:dyDescent="0.25">
      <c r="A35" s="37" t="s">
        <v>70</v>
      </c>
      <c r="B35" s="37"/>
      <c r="C35" s="12">
        <v>7.1</v>
      </c>
      <c r="D35" s="12">
        <v>31</v>
      </c>
      <c r="E35" s="12">
        <v>1000</v>
      </c>
      <c r="F35" s="40">
        <f t="shared" ref="F35:F36" si="2">((D35-C35)*($B$27+$D$27*(C35+D35))/$G$27)</f>
        <v>1.0573287438330172</v>
      </c>
      <c r="G35" s="51">
        <v>7.5999999999999998E-2</v>
      </c>
      <c r="H35" s="53">
        <f t="shared" ref="H35:H36" si="3">G35*F35*E35</f>
        <v>80.356984531309308</v>
      </c>
      <c r="I35" s="54" t="s">
        <v>46</v>
      </c>
    </row>
    <row r="36" spans="1:9" x14ac:dyDescent="0.25">
      <c r="A36" s="37" t="s">
        <v>71</v>
      </c>
      <c r="B36" s="37"/>
      <c r="C36" s="12">
        <v>7.1</v>
      </c>
      <c r="D36" s="12">
        <v>31</v>
      </c>
      <c r="E36" s="12">
        <v>1000</v>
      </c>
      <c r="F36" s="40">
        <f t="shared" si="2"/>
        <v>1.0573287438330172</v>
      </c>
      <c r="G36" s="51">
        <v>4.1000000000000002E-2</v>
      </c>
      <c r="H36" s="53">
        <f t="shared" si="3"/>
        <v>43.350478497153702</v>
      </c>
      <c r="I36" s="54" t="s">
        <v>46</v>
      </c>
    </row>
    <row r="37" spans="1:9" x14ac:dyDescent="0.25">
      <c r="A37" s="27" t="s">
        <v>175</v>
      </c>
      <c r="B37" s="27"/>
      <c r="C37" s="27"/>
      <c r="D37" s="27"/>
      <c r="E37" s="27"/>
      <c r="F37" s="27"/>
      <c r="G37" s="27"/>
      <c r="H37" s="160">
        <f>SUM(H34:H36)</f>
        <v>214.63773499810247</v>
      </c>
      <c r="I37" s="161" t="s">
        <v>46</v>
      </c>
    </row>
    <row r="38" spans="1:9" x14ac:dyDescent="0.25">
      <c r="A38" s="15"/>
      <c r="B38" s="15"/>
      <c r="C38" s="15"/>
      <c r="D38" s="15"/>
      <c r="E38" s="15"/>
      <c r="F38" s="15"/>
      <c r="G38" s="15"/>
      <c r="H38" s="74"/>
      <c r="I38" s="71"/>
    </row>
    <row r="39" spans="1:9" x14ac:dyDescent="0.25">
      <c r="A39" s="34" t="s">
        <v>191</v>
      </c>
      <c r="B39" s="42"/>
      <c r="C39" s="42"/>
      <c r="D39" s="42"/>
      <c r="E39" s="42"/>
      <c r="F39" s="42"/>
      <c r="G39" s="43"/>
      <c r="H39" s="44">
        <f>G29+H37</f>
        <v>563.55622046299823</v>
      </c>
      <c r="I39" s="42" t="s">
        <v>46</v>
      </c>
    </row>
    <row r="40" spans="1:9" x14ac:dyDescent="0.25">
      <c r="A40" s="15" t="s">
        <v>180</v>
      </c>
    </row>
    <row r="41" spans="1:9" x14ac:dyDescent="0.25">
      <c r="A41" t="s">
        <v>294</v>
      </c>
    </row>
    <row r="42" spans="1:9" x14ac:dyDescent="0.25">
      <c r="A42" t="s">
        <v>281</v>
      </c>
    </row>
    <row r="43" spans="1:9" x14ac:dyDescent="0.25">
      <c r="A43" t="s">
        <v>282</v>
      </c>
    </row>
    <row r="44" spans="1:9" x14ac:dyDescent="0.25">
      <c r="A44" t="s">
        <v>283</v>
      </c>
    </row>
  </sheetData>
  <sheetProtection password="DEC8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="140" zoomScaleNormal="140" workbookViewId="0">
      <selection activeCell="B54" sqref="B54"/>
    </sheetView>
  </sheetViews>
  <sheetFormatPr defaultRowHeight="15" x14ac:dyDescent="0.25"/>
  <cols>
    <col min="1" max="1" width="13.5703125" customWidth="1"/>
    <col min="3" max="3" width="11" customWidth="1"/>
    <col min="4" max="4" width="10" customWidth="1"/>
    <col min="5" max="5" width="11.85546875" customWidth="1"/>
    <col min="6" max="6" width="11.42578125" customWidth="1"/>
    <col min="7" max="7" width="10.7109375" customWidth="1"/>
    <col min="8" max="8" width="9.7109375" customWidth="1"/>
  </cols>
  <sheetData>
    <row r="1" spans="1:9" ht="18.75" x14ac:dyDescent="0.3">
      <c r="A1" s="61" t="s">
        <v>143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8" t="s">
        <v>144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8" t="s">
        <v>145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60" t="s">
        <v>91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60" t="s">
        <v>234</v>
      </c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2"/>
      <c r="B7" s="23" t="s">
        <v>74</v>
      </c>
      <c r="C7" s="23" t="s">
        <v>76</v>
      </c>
      <c r="D7" s="23" t="s">
        <v>232</v>
      </c>
      <c r="E7" s="23" t="s">
        <v>107</v>
      </c>
      <c r="F7" s="23"/>
      <c r="G7" s="23"/>
      <c r="H7" s="23"/>
      <c r="I7" s="23"/>
    </row>
    <row r="8" spans="1:9" x14ac:dyDescent="0.25">
      <c r="A8" s="50" t="s">
        <v>66</v>
      </c>
      <c r="B8" s="23" t="s">
        <v>75</v>
      </c>
      <c r="C8" s="23" t="s">
        <v>77</v>
      </c>
      <c r="D8" s="23" t="s">
        <v>35</v>
      </c>
      <c r="E8" s="23" t="s">
        <v>33</v>
      </c>
      <c r="F8" s="23" t="s">
        <v>231</v>
      </c>
      <c r="G8" s="23"/>
      <c r="H8" s="23"/>
      <c r="I8" s="23"/>
    </row>
    <row r="9" spans="1:9" x14ac:dyDescent="0.25">
      <c r="A9" s="12">
        <v>1500</v>
      </c>
      <c r="B9" s="12">
        <v>32</v>
      </c>
      <c r="C9" s="12">
        <v>6.8</v>
      </c>
      <c r="D9" s="24">
        <f>1/4.3+B9*(C9-7.3)/4940</f>
        <v>0.22931927313812259</v>
      </c>
      <c r="E9" s="80">
        <f>1/D9</f>
        <v>4.3607324683856135</v>
      </c>
      <c r="F9" s="80">
        <f>A9*D9</f>
        <v>343.9789097071839</v>
      </c>
      <c r="G9" s="23"/>
      <c r="H9" s="23"/>
      <c r="I9" s="23"/>
    </row>
    <row r="10" spans="1:9" x14ac:dyDescent="0.25">
      <c r="A10" s="23" t="s">
        <v>106</v>
      </c>
      <c r="B10" s="23"/>
      <c r="C10" s="23"/>
      <c r="D10" s="23"/>
      <c r="E10" s="56">
        <f>IF(F9&lt;250,2.53,IF(F9&gt;750,2.12,2.53-((2.53-2.12)/500*(F9-250))))</f>
        <v>2.4529372940401091</v>
      </c>
      <c r="F10" s="23" t="s">
        <v>38</v>
      </c>
      <c r="G10" s="23" t="s">
        <v>62</v>
      </c>
      <c r="H10" s="23"/>
      <c r="I10" s="25">
        <f>F9</f>
        <v>343.9789097071839</v>
      </c>
    </row>
    <row r="11" spans="1:9" x14ac:dyDescent="0.25">
      <c r="A11" s="23" t="s">
        <v>108</v>
      </c>
      <c r="B11" s="23"/>
      <c r="C11" s="23"/>
      <c r="D11" s="23"/>
      <c r="E11" s="56"/>
      <c r="F11" s="57">
        <f>E10/2.53</f>
        <v>0.96954043242692067</v>
      </c>
      <c r="G11" s="23"/>
      <c r="H11" s="23"/>
      <c r="I11" s="25"/>
    </row>
    <row r="12" spans="1:9" x14ac:dyDescent="0.25">
      <c r="A12" s="23" t="s">
        <v>90</v>
      </c>
      <c r="B12" s="23"/>
      <c r="C12" s="23"/>
      <c r="D12" s="58">
        <f>E10*0.7</f>
        <v>1.7170561058280762</v>
      </c>
      <c r="E12" s="56"/>
      <c r="F12" s="23" t="s">
        <v>79</v>
      </c>
      <c r="G12" s="23"/>
      <c r="H12" s="23"/>
      <c r="I12" s="58">
        <f>E10*0.3</f>
        <v>0.73588118821203274</v>
      </c>
    </row>
    <row r="13" spans="1:9" x14ac:dyDescent="0.25">
      <c r="A13" s="23" t="s">
        <v>80</v>
      </c>
      <c r="B13" s="23"/>
      <c r="C13" s="23"/>
      <c r="D13" s="23"/>
      <c r="E13" s="56">
        <v>2.02</v>
      </c>
      <c r="F13" s="23" t="s">
        <v>78</v>
      </c>
      <c r="G13" s="23"/>
      <c r="H13" s="23"/>
      <c r="I13" s="23"/>
    </row>
    <row r="14" spans="1:9" x14ac:dyDescent="0.25">
      <c r="A14" s="23" t="s">
        <v>81</v>
      </c>
      <c r="B14" s="23"/>
      <c r="C14" s="23"/>
      <c r="D14" s="23"/>
      <c r="E14" s="56">
        <f>E13*F11</f>
        <v>1.9584716735023797</v>
      </c>
      <c r="F14" s="23" t="s">
        <v>82</v>
      </c>
      <c r="G14" s="25">
        <f>F9</f>
        <v>343.9789097071839</v>
      </c>
      <c r="H14" s="23" t="s">
        <v>83</v>
      </c>
      <c r="I14" s="23"/>
    </row>
    <row r="15" spans="1:9" x14ac:dyDescent="0.25">
      <c r="A15" s="33"/>
      <c r="B15" s="33"/>
      <c r="C15" s="33"/>
      <c r="D15" s="33"/>
      <c r="E15" s="139" t="s">
        <v>164</v>
      </c>
      <c r="F15" s="140" t="s">
        <v>85</v>
      </c>
      <c r="G15" s="141" t="s">
        <v>88</v>
      </c>
      <c r="H15" s="140" t="s">
        <v>89</v>
      </c>
      <c r="I15" s="140"/>
    </row>
    <row r="16" spans="1:9" x14ac:dyDescent="0.25">
      <c r="A16" s="33" t="s">
        <v>84</v>
      </c>
      <c r="B16" s="33"/>
      <c r="C16" s="33"/>
      <c r="D16" s="33"/>
      <c r="E16" s="136">
        <v>100</v>
      </c>
      <c r="F16" s="135">
        <f>E16/100*$A$9</f>
        <v>1500</v>
      </c>
      <c r="G16" s="59">
        <f>I12</f>
        <v>0.73588118821203274</v>
      </c>
      <c r="H16" s="45">
        <f>F16*G16</f>
        <v>1103.8217823180491</v>
      </c>
      <c r="I16" s="33" t="s">
        <v>38</v>
      </c>
    </row>
    <row r="17" spans="1:11" x14ac:dyDescent="0.25">
      <c r="A17" s="33" t="s">
        <v>86</v>
      </c>
      <c r="B17" s="33"/>
      <c r="C17" s="33"/>
      <c r="D17" s="33"/>
      <c r="E17" s="137">
        <v>66.66</v>
      </c>
      <c r="F17" s="135">
        <f t="shared" ref="F17:F18" si="0">E17/100*$A$9</f>
        <v>999.9</v>
      </c>
      <c r="G17" s="59">
        <f>D12</f>
        <v>1.7170561058280762</v>
      </c>
      <c r="H17" s="45">
        <f t="shared" ref="H17:H18" si="1">F17*G17</f>
        <v>1716.8844002174933</v>
      </c>
      <c r="I17" s="33" t="s">
        <v>38</v>
      </c>
    </row>
    <row r="18" spans="1:11" x14ac:dyDescent="0.25">
      <c r="A18" s="33" t="s">
        <v>87</v>
      </c>
      <c r="B18" s="33"/>
      <c r="C18" s="33"/>
      <c r="D18" s="33"/>
      <c r="E18" s="137">
        <v>33.33</v>
      </c>
      <c r="F18" s="135">
        <f t="shared" si="0"/>
        <v>499.95</v>
      </c>
      <c r="G18" s="59">
        <f>E14</f>
        <v>1.9584716735023797</v>
      </c>
      <c r="H18" s="45">
        <f t="shared" si="1"/>
        <v>979.13791316751474</v>
      </c>
      <c r="I18" s="33" t="s">
        <v>38</v>
      </c>
    </row>
    <row r="19" spans="1:11" x14ac:dyDescent="0.25">
      <c r="A19" s="17" t="s">
        <v>37</v>
      </c>
      <c r="B19" s="17"/>
      <c r="C19" s="17"/>
      <c r="D19" s="17"/>
      <c r="E19" s="164">
        <f>SUM(E16:E18)/2</f>
        <v>99.995000000000005</v>
      </c>
      <c r="F19" s="165" t="s">
        <v>142</v>
      </c>
      <c r="G19" s="166">
        <v>100</v>
      </c>
      <c r="H19" s="21">
        <f>SUM(H16:H18)</f>
        <v>3799.8440957030571</v>
      </c>
      <c r="I19" s="17" t="s">
        <v>38</v>
      </c>
    </row>
    <row r="20" spans="1:11" x14ac:dyDescent="0.25">
      <c r="A20" s="17" t="s">
        <v>151</v>
      </c>
      <c r="B20" s="17"/>
      <c r="C20" s="17"/>
      <c r="D20" s="17"/>
      <c r="E20" s="164"/>
      <c r="F20" s="167">
        <f>IF(C9&lt;6.85,(B9*(C9-7.3)*0.00148),IF(C9&gt;7.95,(B9*(C9-7.3)*0.00148),0))</f>
        <v>-2.368E-2</v>
      </c>
      <c r="G20" s="168" t="s">
        <v>153</v>
      </c>
      <c r="H20" s="21">
        <f>A9*F20</f>
        <v>-35.519999999999996</v>
      </c>
      <c r="I20" s="17" t="s">
        <v>150</v>
      </c>
      <c r="K20" s="113"/>
    </row>
    <row r="21" spans="1:11" x14ac:dyDescent="0.25">
      <c r="A21" s="17" t="s">
        <v>152</v>
      </c>
      <c r="B21" s="17"/>
      <c r="C21" s="17"/>
      <c r="D21" s="17"/>
      <c r="E21" s="164"/>
      <c r="F21" s="165"/>
      <c r="G21" s="165"/>
      <c r="H21" s="21">
        <f>H19+H20</f>
        <v>3764.3240957030571</v>
      </c>
      <c r="I21" s="17" t="s">
        <v>38</v>
      </c>
      <c r="K21" s="113"/>
    </row>
    <row r="22" spans="1:11" s="15" customFormat="1" x14ac:dyDescent="0.25">
      <c r="A22" s="88"/>
      <c r="E22" s="88"/>
      <c r="H22" s="20"/>
    </row>
    <row r="23" spans="1:11" s="15" customFormat="1" x14ac:dyDescent="0.25">
      <c r="A23" s="76" t="s">
        <v>92</v>
      </c>
      <c r="B23" s="27"/>
      <c r="C23" s="27"/>
      <c r="D23" s="27"/>
      <c r="E23" s="118"/>
      <c r="F23" s="27"/>
      <c r="G23" s="27"/>
      <c r="H23" s="119"/>
      <c r="I23" s="27"/>
    </row>
    <row r="24" spans="1:11" s="15" customFormat="1" x14ac:dyDescent="0.25">
      <c r="A24" s="36"/>
      <c r="B24" s="37" t="s">
        <v>74</v>
      </c>
      <c r="C24" s="37" t="s">
        <v>76</v>
      </c>
      <c r="D24" s="37"/>
      <c r="E24" s="37" t="s">
        <v>107</v>
      </c>
      <c r="F24" s="37"/>
      <c r="G24" s="116"/>
      <c r="H24" s="117"/>
      <c r="I24" s="116"/>
    </row>
    <row r="25" spans="1:11" s="15" customFormat="1" x14ac:dyDescent="0.25">
      <c r="A25" s="51" t="s">
        <v>66</v>
      </c>
      <c r="B25" s="37" t="s">
        <v>75</v>
      </c>
      <c r="C25" s="37" t="s">
        <v>77</v>
      </c>
      <c r="D25" s="37" t="s">
        <v>35</v>
      </c>
      <c r="E25" s="37" t="s">
        <v>33</v>
      </c>
      <c r="F25" s="37" t="s">
        <v>34</v>
      </c>
      <c r="G25" s="116"/>
      <c r="H25" s="117"/>
      <c r="I25" s="116"/>
    </row>
    <row r="26" spans="1:11" x14ac:dyDescent="0.25">
      <c r="A26" s="12">
        <v>700</v>
      </c>
      <c r="B26" s="12">
        <v>30</v>
      </c>
      <c r="C26" s="12">
        <v>6.5</v>
      </c>
      <c r="D26" s="38">
        <f>1/4.4+B26*(C26-7.2)/5167</f>
        <v>0.22320847335362526</v>
      </c>
      <c r="E26" s="52">
        <f>1/D26</f>
        <v>4.4801166594411388</v>
      </c>
      <c r="F26" s="52">
        <f>A26*D26</f>
        <v>156.24593134753769</v>
      </c>
      <c r="G26" s="37" t="s">
        <v>46</v>
      </c>
      <c r="H26" s="37"/>
      <c r="I26" s="37"/>
    </row>
    <row r="27" spans="1:11" x14ac:dyDescent="0.25">
      <c r="A27" s="11" t="s">
        <v>94</v>
      </c>
      <c r="B27" s="11"/>
      <c r="C27" s="11"/>
      <c r="D27" s="11"/>
      <c r="E27" s="124" t="s">
        <v>157</v>
      </c>
      <c r="F27" s="123" t="s">
        <v>85</v>
      </c>
      <c r="G27" s="11" t="s">
        <v>93</v>
      </c>
      <c r="H27" s="49" t="s">
        <v>43</v>
      </c>
      <c r="I27" s="11"/>
    </row>
    <row r="28" spans="1:11" x14ac:dyDescent="0.25">
      <c r="A28" s="11" t="s">
        <v>95</v>
      </c>
      <c r="B28" s="11"/>
      <c r="C28" s="14"/>
      <c r="D28" s="14"/>
      <c r="E28" s="12">
        <v>30</v>
      </c>
      <c r="F28" s="122">
        <f>E28/100*$A$26</f>
        <v>210</v>
      </c>
      <c r="G28" s="46">
        <v>1.43</v>
      </c>
      <c r="H28" s="48">
        <f>F28*G28</f>
        <v>300.3</v>
      </c>
      <c r="I28" s="11" t="s">
        <v>46</v>
      </c>
    </row>
    <row r="29" spans="1:11" x14ac:dyDescent="0.25">
      <c r="A29" s="11" t="s">
        <v>96</v>
      </c>
      <c r="B29" s="11"/>
      <c r="C29" s="14"/>
      <c r="D29" s="14"/>
      <c r="E29" s="12">
        <v>70</v>
      </c>
      <c r="F29" s="122">
        <f>E29/100*$A$26</f>
        <v>489.99999999999994</v>
      </c>
      <c r="G29" s="46">
        <v>0.75</v>
      </c>
      <c r="H29" s="48">
        <f>F29*G29</f>
        <v>367.49999999999994</v>
      </c>
      <c r="I29" s="11" t="s">
        <v>46</v>
      </c>
    </row>
    <row r="30" spans="1:11" x14ac:dyDescent="0.25">
      <c r="A30" s="11" t="s">
        <v>159</v>
      </c>
      <c r="B30" s="11"/>
      <c r="C30" s="14"/>
      <c r="D30" s="14"/>
      <c r="E30" s="128">
        <f>SUM(E28:E29)</f>
        <v>100</v>
      </c>
      <c r="F30" s="109" t="str">
        <f>IF(E30=100,"100% er OK","skal være 100%!")</f>
        <v>100% er OK</v>
      </c>
      <c r="G30" s="46"/>
      <c r="H30" s="48"/>
      <c r="I30" s="11"/>
    </row>
    <row r="31" spans="1:11" x14ac:dyDescent="0.25">
      <c r="A31" s="129" t="s">
        <v>97</v>
      </c>
      <c r="B31" s="129"/>
      <c r="C31" s="130"/>
      <c r="D31" s="130"/>
      <c r="E31" s="134">
        <v>0</v>
      </c>
      <c r="F31" s="131"/>
      <c r="G31" s="132" t="s">
        <v>103</v>
      </c>
      <c r="H31" s="133"/>
      <c r="I31" s="129"/>
    </row>
    <row r="32" spans="1:11" x14ac:dyDescent="0.25">
      <c r="A32" s="129" t="s">
        <v>109</v>
      </c>
      <c r="B32" s="129"/>
      <c r="C32" s="130"/>
      <c r="D32" s="130"/>
      <c r="E32" s="134">
        <v>0</v>
      </c>
      <c r="F32" s="131"/>
      <c r="G32" s="132" t="s">
        <v>103</v>
      </c>
      <c r="H32" s="133"/>
      <c r="I32" s="129"/>
    </row>
    <row r="33" spans="1:9" x14ac:dyDescent="0.25">
      <c r="A33" s="129" t="s">
        <v>111</v>
      </c>
      <c r="B33" s="129"/>
      <c r="C33" s="130"/>
      <c r="D33" s="130"/>
      <c r="E33" s="130"/>
      <c r="F33" s="131"/>
      <c r="G33" s="132"/>
      <c r="H33" s="133"/>
      <c r="I33" s="129"/>
    </row>
    <row r="34" spans="1:9" x14ac:dyDescent="0.25">
      <c r="A34" s="129" t="s">
        <v>165</v>
      </c>
      <c r="B34" s="129"/>
      <c r="C34" s="130"/>
      <c r="D34" s="130"/>
      <c r="E34" s="130"/>
      <c r="F34" s="131"/>
      <c r="G34" s="132"/>
      <c r="H34" s="133"/>
      <c r="I34" s="129"/>
    </row>
    <row r="35" spans="1:9" x14ac:dyDescent="0.25">
      <c r="A35" s="77" t="s">
        <v>98</v>
      </c>
      <c r="B35" s="78"/>
      <c r="C35" s="78"/>
      <c r="D35" s="78"/>
      <c r="E35" s="125" t="s">
        <v>156</v>
      </c>
      <c r="F35" s="125" t="s">
        <v>158</v>
      </c>
      <c r="G35" s="78"/>
      <c r="H35" s="79"/>
      <c r="I35" s="78" t="s">
        <v>46</v>
      </c>
    </row>
    <row r="36" spans="1:9" x14ac:dyDescent="0.25">
      <c r="A36" s="78" t="s">
        <v>99</v>
      </c>
      <c r="B36" s="78"/>
      <c r="C36" s="78"/>
      <c r="D36" s="78"/>
      <c r="E36" s="12">
        <v>30</v>
      </c>
      <c r="F36" s="122">
        <f>E36/100*$A$26</f>
        <v>210</v>
      </c>
      <c r="G36" s="84">
        <v>1.74</v>
      </c>
      <c r="H36" s="79">
        <f>F36*G36</f>
        <v>365.4</v>
      </c>
      <c r="I36" s="78" t="s">
        <v>46</v>
      </c>
    </row>
    <row r="37" spans="1:9" x14ac:dyDescent="0.25">
      <c r="A37" s="78" t="s">
        <v>100</v>
      </c>
      <c r="B37" s="78"/>
      <c r="C37" s="78"/>
      <c r="D37" s="78"/>
      <c r="E37" s="12">
        <v>0</v>
      </c>
      <c r="F37" s="122">
        <f t="shared" ref="F37:F42" si="2">E37/100*$A$26</f>
        <v>0</v>
      </c>
      <c r="G37" s="85">
        <v>2.48</v>
      </c>
      <c r="H37" s="79">
        <f t="shared" ref="H37:H42" si="3">F37*G37</f>
        <v>0</v>
      </c>
      <c r="I37" s="78" t="s">
        <v>46</v>
      </c>
    </row>
    <row r="38" spans="1:9" x14ac:dyDescent="0.25">
      <c r="A38" s="78" t="s">
        <v>155</v>
      </c>
      <c r="B38" s="78"/>
      <c r="C38" s="78"/>
      <c r="D38" s="78"/>
      <c r="E38" s="12">
        <v>0</v>
      </c>
      <c r="F38" s="122">
        <f t="shared" si="2"/>
        <v>0</v>
      </c>
      <c r="G38" s="86">
        <f>4.71/2.37*G42</f>
        <v>4.1932911392405057</v>
      </c>
      <c r="H38" s="79">
        <f t="shared" si="3"/>
        <v>0</v>
      </c>
      <c r="I38" s="78" t="s">
        <v>46</v>
      </c>
    </row>
    <row r="39" spans="1:9" x14ac:dyDescent="0.25">
      <c r="A39" s="78" t="s">
        <v>228</v>
      </c>
      <c r="B39" s="78"/>
      <c r="C39" s="78"/>
      <c r="D39" s="78"/>
      <c r="E39" s="12">
        <v>10</v>
      </c>
      <c r="F39" s="122">
        <f t="shared" si="2"/>
        <v>70</v>
      </c>
      <c r="G39" s="84">
        <f>0.33*G41+0.67*G42</f>
        <v>2.242</v>
      </c>
      <c r="H39" s="79">
        <f t="shared" si="3"/>
        <v>156.94</v>
      </c>
      <c r="I39" s="78" t="s">
        <v>46</v>
      </c>
    </row>
    <row r="40" spans="1:9" x14ac:dyDescent="0.25">
      <c r="A40" s="78" t="s">
        <v>223</v>
      </c>
      <c r="B40" s="78"/>
      <c r="C40" s="78"/>
      <c r="D40" s="78"/>
      <c r="E40" s="12">
        <v>0</v>
      </c>
      <c r="F40" s="122">
        <f t="shared" si="2"/>
        <v>0</v>
      </c>
      <c r="G40" s="81">
        <v>2.7429999999999999</v>
      </c>
      <c r="H40" s="79">
        <f t="shared" si="3"/>
        <v>0</v>
      </c>
      <c r="I40" s="78" t="s">
        <v>46</v>
      </c>
    </row>
    <row r="41" spans="1:9" x14ac:dyDescent="0.25">
      <c r="A41" s="78" t="s">
        <v>101</v>
      </c>
      <c r="B41" s="78"/>
      <c r="C41" s="78"/>
      <c r="D41" s="78"/>
      <c r="E41" s="12">
        <v>0</v>
      </c>
      <c r="F41" s="122">
        <f t="shared" si="2"/>
        <v>0</v>
      </c>
      <c r="G41" s="85">
        <v>2.5099999999999998</v>
      </c>
      <c r="H41" s="79">
        <f t="shared" si="3"/>
        <v>0</v>
      </c>
      <c r="I41" s="78" t="s">
        <v>46</v>
      </c>
    </row>
    <row r="42" spans="1:9" x14ac:dyDescent="0.25">
      <c r="A42" s="78" t="s">
        <v>102</v>
      </c>
      <c r="B42" s="78"/>
      <c r="C42" s="78"/>
      <c r="D42" s="78"/>
      <c r="E42" s="12">
        <v>60</v>
      </c>
      <c r="F42" s="122">
        <f t="shared" si="2"/>
        <v>420</v>
      </c>
      <c r="G42" s="85">
        <v>2.11</v>
      </c>
      <c r="H42" s="79">
        <f t="shared" si="3"/>
        <v>886.19999999999993</v>
      </c>
      <c r="I42" s="78" t="s">
        <v>46</v>
      </c>
    </row>
    <row r="43" spans="1:9" x14ac:dyDescent="0.25">
      <c r="A43" s="37" t="s">
        <v>105</v>
      </c>
      <c r="B43" s="37"/>
      <c r="C43" s="37"/>
      <c r="D43" s="37"/>
      <c r="E43" s="127">
        <f>SUM(E36:E42)</f>
        <v>100</v>
      </c>
      <c r="F43" s="109" t="str">
        <f>IF(E43=100,"100% er OK","skal være 100%!")</f>
        <v>100% er OK</v>
      </c>
      <c r="G43" s="36"/>
      <c r="H43" s="91">
        <f>H28+H29+H36+H37+H38+H39+H40+H41+H42</f>
        <v>2076.3399999999997</v>
      </c>
      <c r="I43" s="37" t="s">
        <v>46</v>
      </c>
    </row>
    <row r="44" spans="1:9" x14ac:dyDescent="0.25">
      <c r="A44" s="37" t="s">
        <v>151</v>
      </c>
      <c r="B44" s="37"/>
      <c r="C44" s="37"/>
      <c r="D44" s="37"/>
      <c r="E44" s="120"/>
      <c r="F44" s="126">
        <f>IF(C26&lt;6.85,(B26*(C26-7.3)*0.00148),IF(C26&gt;7.95,(B26*(C26-7.3)*0.00148),0))</f>
        <v>-3.5519999999999989E-2</v>
      </c>
      <c r="G44" s="116" t="s">
        <v>149</v>
      </c>
      <c r="H44" s="91">
        <f>A26*F44</f>
        <v>-24.863999999999994</v>
      </c>
      <c r="I44" s="37" t="s">
        <v>150</v>
      </c>
    </row>
    <row r="45" spans="1:9" x14ac:dyDescent="0.25">
      <c r="A45" s="37" t="s">
        <v>152</v>
      </c>
      <c r="B45" s="37"/>
      <c r="C45" s="37"/>
      <c r="D45" s="37"/>
      <c r="E45" s="120"/>
      <c r="F45" s="121"/>
      <c r="G45" s="121"/>
      <c r="H45" s="91">
        <f>H43+H44</f>
        <v>2051.4759999999997</v>
      </c>
      <c r="I45" s="37" t="s">
        <v>38</v>
      </c>
    </row>
    <row r="46" spans="1:9" x14ac:dyDescent="0.25">
      <c r="A46" s="27" t="s">
        <v>154</v>
      </c>
      <c r="B46" s="27"/>
      <c r="C46" s="27"/>
      <c r="D46" s="27"/>
      <c r="E46" s="27"/>
      <c r="F46" s="27"/>
      <c r="G46" s="76"/>
      <c r="H46" s="90">
        <f>H21+H45</f>
        <v>5815.8000957030563</v>
      </c>
      <c r="I46" s="27" t="s">
        <v>46</v>
      </c>
    </row>
    <row r="47" spans="1:9" x14ac:dyDescent="0.25">
      <c r="A47" s="27" t="s">
        <v>146</v>
      </c>
      <c r="B47" s="27"/>
      <c r="C47" s="27"/>
      <c r="D47" s="27"/>
      <c r="E47" s="27"/>
      <c r="F47" s="27"/>
      <c r="G47" s="76"/>
      <c r="H47" s="90"/>
      <c r="I47" s="27"/>
    </row>
    <row r="48" spans="1:9" x14ac:dyDescent="0.25">
      <c r="A48" s="27" t="s">
        <v>147</v>
      </c>
      <c r="B48" s="27"/>
      <c r="C48" s="27"/>
      <c r="D48" s="27"/>
      <c r="E48" s="27"/>
      <c r="F48" s="27"/>
      <c r="G48" s="76"/>
      <c r="H48" s="90"/>
      <c r="I48" s="27"/>
    </row>
    <row r="49" spans="1:10" x14ac:dyDescent="0.25">
      <c r="A49" s="82" t="s">
        <v>104</v>
      </c>
      <c r="B49" s="83"/>
      <c r="C49" s="83"/>
      <c r="D49" s="83"/>
      <c r="E49" s="62"/>
      <c r="F49" s="62"/>
      <c r="G49" s="63"/>
      <c r="H49" s="62"/>
      <c r="I49" s="62"/>
      <c r="J49" s="62"/>
    </row>
    <row r="50" spans="1:10" x14ac:dyDescent="0.25">
      <c r="A50" s="82" t="s">
        <v>222</v>
      </c>
      <c r="B50" s="83"/>
      <c r="C50" s="83"/>
      <c r="D50" s="83"/>
      <c r="E50" s="62"/>
      <c r="F50" s="62"/>
      <c r="G50" s="63"/>
      <c r="H50" s="62"/>
      <c r="I50" s="62"/>
      <c r="J50" s="62"/>
    </row>
    <row r="51" spans="1:10" x14ac:dyDescent="0.25">
      <c r="A51" s="82" t="s">
        <v>226</v>
      </c>
      <c r="B51" s="83"/>
      <c r="C51" s="83"/>
      <c r="D51" s="83"/>
      <c r="E51" s="62"/>
      <c r="F51" s="62"/>
      <c r="G51" s="63"/>
      <c r="H51" s="62"/>
      <c r="I51" s="62"/>
      <c r="J51" s="62"/>
    </row>
    <row r="52" spans="1:10" x14ac:dyDescent="0.25">
      <c r="A52" s="82" t="s">
        <v>224</v>
      </c>
      <c r="B52" s="15"/>
      <c r="C52" s="15"/>
      <c r="D52" s="15"/>
      <c r="E52" s="15"/>
      <c r="F52" s="15"/>
      <c r="G52" s="15"/>
      <c r="H52" s="15"/>
      <c r="I52" s="15"/>
    </row>
    <row r="53" spans="1:10" x14ac:dyDescent="0.25">
      <c r="A53" s="82" t="s">
        <v>225</v>
      </c>
      <c r="B53" s="15"/>
      <c r="C53" s="15"/>
      <c r="D53" s="15"/>
      <c r="E53" s="15"/>
      <c r="F53" s="15"/>
      <c r="G53" s="15"/>
      <c r="H53" s="15"/>
      <c r="I53" s="15"/>
    </row>
    <row r="54" spans="1:10" x14ac:dyDescent="0.25">
      <c r="A54" s="66"/>
      <c r="B54" s="15"/>
      <c r="C54" s="15"/>
      <c r="D54" s="66"/>
      <c r="E54" s="66"/>
      <c r="F54" s="66"/>
      <c r="G54" s="15"/>
      <c r="H54" s="15"/>
      <c r="I54" s="15"/>
    </row>
    <row r="55" spans="1:10" x14ac:dyDescent="0.25">
      <c r="A55" s="67"/>
      <c r="B55" s="67"/>
      <c r="C55" s="67"/>
      <c r="D55" s="68"/>
      <c r="E55" s="69"/>
      <c r="F55" s="69"/>
      <c r="G55" s="15"/>
      <c r="H55" s="15"/>
      <c r="I55" s="15"/>
    </row>
    <row r="56" spans="1:10" x14ac:dyDescent="0.25">
      <c r="A56" s="15"/>
      <c r="B56" s="15"/>
      <c r="C56" s="15"/>
      <c r="D56" s="68"/>
      <c r="E56" s="70"/>
      <c r="F56" s="70"/>
      <c r="G56" s="15"/>
      <c r="H56" s="15"/>
      <c r="I56" s="15"/>
    </row>
    <row r="57" spans="1:10" x14ac:dyDescent="0.25">
      <c r="A57" s="15"/>
      <c r="B57" s="66"/>
      <c r="C57" s="15"/>
      <c r="D57" s="66"/>
      <c r="E57" s="15"/>
      <c r="F57" s="15"/>
      <c r="G57" s="71"/>
      <c r="H57" s="15"/>
      <c r="I57" s="15"/>
    </row>
    <row r="58" spans="1:10" x14ac:dyDescent="0.25">
      <c r="A58" s="15"/>
      <c r="B58" s="15"/>
      <c r="C58" s="15"/>
      <c r="D58" s="15"/>
      <c r="E58" s="72"/>
      <c r="F58" s="15"/>
      <c r="G58" s="15"/>
      <c r="H58" s="15"/>
      <c r="I58" s="70"/>
    </row>
    <row r="59" spans="1:10" x14ac:dyDescent="0.25">
      <c r="A59" s="15"/>
      <c r="B59" s="15"/>
      <c r="C59" s="15"/>
      <c r="D59" s="15"/>
      <c r="E59" s="72"/>
      <c r="F59" s="15"/>
      <c r="G59" s="15"/>
      <c r="H59" s="15"/>
      <c r="I59" s="15"/>
    </row>
    <row r="60" spans="1:10" x14ac:dyDescent="0.25">
      <c r="A60" s="15"/>
      <c r="B60" s="15"/>
      <c r="C60" s="15"/>
      <c r="D60" s="15"/>
      <c r="E60" s="72"/>
      <c r="F60" s="15"/>
      <c r="G60" s="15"/>
      <c r="H60" s="15"/>
      <c r="I60" s="15"/>
    </row>
    <row r="61" spans="1:10" x14ac:dyDescent="0.25">
      <c r="A61" s="15"/>
      <c r="B61" s="15"/>
      <c r="C61" s="15"/>
      <c r="D61" s="15"/>
      <c r="E61" s="20"/>
      <c r="F61" s="15"/>
      <c r="G61" s="15"/>
      <c r="H61" s="15"/>
      <c r="I61" s="15"/>
    </row>
    <row r="62" spans="1:10" x14ac:dyDescent="0.25">
      <c r="A62" s="15"/>
      <c r="B62" s="15"/>
      <c r="C62" s="15"/>
      <c r="D62" s="15"/>
      <c r="E62" s="20"/>
      <c r="F62" s="15"/>
      <c r="G62" s="15"/>
      <c r="H62" s="15"/>
      <c r="I62" s="15"/>
    </row>
    <row r="63" spans="1:10" x14ac:dyDescent="0.25">
      <c r="A63" s="65"/>
      <c r="B63" s="15"/>
      <c r="C63" s="15"/>
      <c r="D63" s="15"/>
      <c r="E63" s="15"/>
      <c r="F63" s="15"/>
      <c r="G63" s="66"/>
      <c r="H63" s="15"/>
      <c r="I63" s="15"/>
    </row>
    <row r="64" spans="1:10" x14ac:dyDescent="0.25">
      <c r="A64" s="15"/>
      <c r="B64" s="15"/>
      <c r="C64" s="66"/>
      <c r="D64" s="66"/>
      <c r="E64" s="66"/>
      <c r="F64" s="15"/>
      <c r="G64" s="66"/>
      <c r="H64" s="73"/>
      <c r="I64" s="15"/>
    </row>
    <row r="65" spans="1:9" x14ac:dyDescent="0.25">
      <c r="A65" s="15"/>
      <c r="B65" s="15"/>
      <c r="C65" s="67"/>
      <c r="D65" s="67"/>
      <c r="E65" s="67"/>
      <c r="F65" s="72"/>
      <c r="G65" s="66"/>
      <c r="H65" s="74"/>
      <c r="I65" s="71"/>
    </row>
    <row r="66" spans="1:9" x14ac:dyDescent="0.25">
      <c r="A66" s="15"/>
      <c r="B66" s="15"/>
      <c r="C66" s="67"/>
      <c r="D66" s="67"/>
      <c r="E66" s="67"/>
      <c r="F66" s="72"/>
      <c r="G66" s="66"/>
      <c r="H66" s="74"/>
      <c r="I66" s="71"/>
    </row>
    <row r="67" spans="1:9" x14ac:dyDescent="0.25">
      <c r="A67" s="15"/>
      <c r="B67" s="15"/>
      <c r="C67" s="67"/>
      <c r="D67" s="67"/>
      <c r="E67" s="67"/>
      <c r="F67" s="72"/>
      <c r="G67" s="66"/>
      <c r="H67" s="74"/>
      <c r="I67" s="71"/>
    </row>
    <row r="68" spans="1:9" x14ac:dyDescent="0.25">
      <c r="A68" s="15"/>
      <c r="B68" s="15"/>
      <c r="C68" s="15"/>
      <c r="D68" s="15"/>
      <c r="E68" s="15"/>
      <c r="F68" s="15"/>
      <c r="G68" s="15"/>
      <c r="H68" s="74"/>
      <c r="I68" s="71"/>
    </row>
    <row r="69" spans="1:9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x14ac:dyDescent="0.25">
      <c r="A70" s="15"/>
      <c r="B70" s="15"/>
      <c r="C70" s="15"/>
      <c r="D70" s="15"/>
      <c r="E70" s="15"/>
      <c r="F70" s="15"/>
      <c r="G70" s="20"/>
      <c r="H70" s="75"/>
      <c r="I70" s="15"/>
    </row>
  </sheetData>
  <sheetProtection password="DEC8" sheet="1" objects="1" scenario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43" zoomScale="140" zoomScaleNormal="140" workbookViewId="0">
      <selection activeCell="G44" sqref="G44"/>
    </sheetView>
  </sheetViews>
  <sheetFormatPr defaultRowHeight="15" x14ac:dyDescent="0.25"/>
  <cols>
    <col min="1" max="1" width="13.5703125" customWidth="1"/>
    <col min="3" max="3" width="11" customWidth="1"/>
    <col min="4" max="4" width="10" customWidth="1"/>
    <col min="5" max="5" width="11.85546875" customWidth="1"/>
    <col min="6" max="6" width="11.42578125" customWidth="1"/>
    <col min="7" max="7" width="10.7109375" customWidth="1"/>
    <col min="8" max="8" width="9.7109375" customWidth="1"/>
  </cols>
  <sheetData>
    <row r="1" spans="1:11" ht="18.75" x14ac:dyDescent="0.3">
      <c r="A1" s="61" t="s">
        <v>200</v>
      </c>
      <c r="B1" s="17"/>
      <c r="C1" s="17"/>
      <c r="D1" s="17"/>
      <c r="E1" s="17"/>
      <c r="F1" s="17"/>
      <c r="G1" s="17"/>
      <c r="H1" s="17"/>
      <c r="I1" s="17"/>
    </row>
    <row r="2" spans="1:11" x14ac:dyDescent="0.25">
      <c r="A2" s="18" t="s">
        <v>201</v>
      </c>
      <c r="B2" s="17"/>
      <c r="C2" s="17"/>
      <c r="D2" s="17"/>
      <c r="E2" s="17"/>
      <c r="F2" s="17"/>
      <c r="G2" s="17"/>
      <c r="H2" s="17"/>
      <c r="I2" s="17"/>
    </row>
    <row r="3" spans="1:11" x14ac:dyDescent="0.25">
      <c r="A3" s="18" t="s">
        <v>202</v>
      </c>
      <c r="B3" s="17"/>
      <c r="C3" s="17"/>
      <c r="D3" s="17"/>
      <c r="E3" s="17"/>
      <c r="F3" s="17"/>
      <c r="G3" s="17"/>
      <c r="H3" s="17"/>
      <c r="I3" s="17"/>
    </row>
    <row r="4" spans="1:11" x14ac:dyDescent="0.25">
      <c r="A4" s="60"/>
      <c r="B4" s="17"/>
      <c r="C4" s="17"/>
      <c r="D4" s="17"/>
      <c r="E4" s="17"/>
      <c r="F4" s="17"/>
      <c r="G4" s="17"/>
      <c r="H4" s="17"/>
      <c r="I4" s="17"/>
    </row>
    <row r="5" spans="1:11" x14ac:dyDescent="0.25">
      <c r="A5" s="22" t="s">
        <v>192</v>
      </c>
      <c r="B5" s="23"/>
      <c r="C5" s="23"/>
      <c r="D5" s="23"/>
      <c r="E5" s="23"/>
      <c r="F5" s="23"/>
      <c r="G5" s="23"/>
      <c r="H5" s="23"/>
      <c r="I5" s="23"/>
    </row>
    <row r="6" spans="1:11" x14ac:dyDescent="0.25">
      <c r="A6" s="146" t="s">
        <v>204</v>
      </c>
      <c r="B6" s="23"/>
      <c r="C6" s="23"/>
      <c r="D6" s="23"/>
      <c r="E6" s="23" t="s">
        <v>177</v>
      </c>
      <c r="F6" s="23"/>
      <c r="G6" s="23" t="s">
        <v>205</v>
      </c>
      <c r="H6" s="23"/>
      <c r="I6" s="23"/>
    </row>
    <row r="7" spans="1:11" x14ac:dyDescent="0.25">
      <c r="A7" s="50" t="s">
        <v>203</v>
      </c>
      <c r="B7" s="23"/>
      <c r="C7" s="23"/>
      <c r="D7" s="23"/>
      <c r="E7" s="23" t="s">
        <v>153</v>
      </c>
      <c r="F7" s="23"/>
      <c r="G7" s="23" t="s">
        <v>206</v>
      </c>
      <c r="H7" s="23"/>
      <c r="I7" s="23"/>
    </row>
    <row r="8" spans="1:11" x14ac:dyDescent="0.25">
      <c r="A8" s="12">
        <v>1000</v>
      </c>
      <c r="B8" s="149"/>
      <c r="C8" s="149"/>
      <c r="D8" s="24"/>
      <c r="E8" s="80">
        <v>2.39</v>
      </c>
      <c r="F8" s="147"/>
      <c r="G8" s="23" t="s">
        <v>207</v>
      </c>
      <c r="H8" s="23"/>
      <c r="I8" s="23"/>
    </row>
    <row r="9" spans="1:11" x14ac:dyDescent="0.25">
      <c r="A9" s="23"/>
      <c r="B9" s="23"/>
      <c r="C9" s="23"/>
      <c r="D9" s="23"/>
      <c r="E9" s="56"/>
      <c r="F9" s="23"/>
      <c r="G9" s="23"/>
      <c r="H9" s="23"/>
      <c r="I9" s="25"/>
    </row>
    <row r="10" spans="1:11" x14ac:dyDescent="0.25">
      <c r="A10" s="23" t="s">
        <v>208</v>
      </c>
      <c r="B10" s="23"/>
      <c r="C10" s="23"/>
      <c r="D10" s="58">
        <v>1.76</v>
      </c>
      <c r="E10" s="56"/>
      <c r="F10" s="23" t="s">
        <v>209</v>
      </c>
      <c r="G10" s="23"/>
      <c r="H10" s="23"/>
      <c r="I10" s="58">
        <v>0.63</v>
      </c>
    </row>
    <row r="11" spans="1:11" x14ac:dyDescent="0.25">
      <c r="A11" s="33"/>
      <c r="B11" s="33"/>
      <c r="C11" s="33"/>
      <c r="D11" s="33"/>
      <c r="E11" s="139" t="s">
        <v>164</v>
      </c>
      <c r="F11" s="140" t="s">
        <v>85</v>
      </c>
      <c r="G11" s="141" t="s">
        <v>196</v>
      </c>
      <c r="H11" s="140" t="s">
        <v>197</v>
      </c>
      <c r="I11" s="140"/>
    </row>
    <row r="12" spans="1:11" x14ac:dyDescent="0.25">
      <c r="A12" s="33" t="s">
        <v>193</v>
      </c>
      <c r="B12" s="33"/>
      <c r="C12" s="33"/>
      <c r="D12" s="33"/>
      <c r="E12" s="137">
        <v>100</v>
      </c>
      <c r="F12" s="135">
        <f>E12/100*$A$8</f>
        <v>1000</v>
      </c>
      <c r="G12" s="59">
        <f>I10</f>
        <v>0.63</v>
      </c>
      <c r="H12" s="45">
        <f>F12*G12</f>
        <v>630</v>
      </c>
      <c r="I12" s="33" t="s">
        <v>38</v>
      </c>
    </row>
    <row r="13" spans="1:11" x14ac:dyDescent="0.25">
      <c r="A13" s="33" t="s">
        <v>194</v>
      </c>
      <c r="B13" s="33"/>
      <c r="C13" s="33"/>
      <c r="D13" s="33"/>
      <c r="E13" s="137">
        <v>100</v>
      </c>
      <c r="F13" s="135">
        <f t="shared" ref="F13" si="0">E13/100*$A$8</f>
        <v>1000</v>
      </c>
      <c r="G13" s="59">
        <f>D10</f>
        <v>1.76</v>
      </c>
      <c r="H13" s="45">
        <f t="shared" ref="H13" si="1">F13*G13</f>
        <v>1760</v>
      </c>
      <c r="I13" s="33" t="s">
        <v>38</v>
      </c>
    </row>
    <row r="14" spans="1:11" x14ac:dyDescent="0.25">
      <c r="A14" s="32" t="s">
        <v>195</v>
      </c>
      <c r="B14" s="32"/>
      <c r="C14" s="32"/>
      <c r="D14" s="32"/>
      <c r="E14" s="87" t="s">
        <v>199</v>
      </c>
      <c r="F14" s="112"/>
      <c r="G14" s="138"/>
      <c r="H14" s="64">
        <f>SUM(H12:H13)</f>
        <v>2390</v>
      </c>
      <c r="I14" s="32" t="s">
        <v>38</v>
      </c>
    </row>
    <row r="15" spans="1:11" x14ac:dyDescent="0.25">
      <c r="A15" s="32"/>
      <c r="B15" s="32"/>
      <c r="C15" s="32"/>
      <c r="D15" s="32"/>
      <c r="E15" s="87" t="s">
        <v>198</v>
      </c>
      <c r="F15" s="115"/>
      <c r="G15" s="114"/>
      <c r="H15" s="64"/>
      <c r="I15" s="32"/>
      <c r="K15" s="113"/>
    </row>
    <row r="16" spans="1:11" s="15" customFormat="1" x14ac:dyDescent="0.25">
      <c r="A16" s="88"/>
      <c r="E16" s="88"/>
      <c r="H16" s="20"/>
    </row>
    <row r="17" spans="1:9" s="15" customFormat="1" x14ac:dyDescent="0.25">
      <c r="A17" s="76" t="s">
        <v>210</v>
      </c>
      <c r="B17" s="27"/>
      <c r="C17" s="27"/>
      <c r="D17" s="27"/>
      <c r="E17" s="118"/>
      <c r="F17" s="27"/>
      <c r="G17" s="27"/>
      <c r="H17" s="119"/>
      <c r="I17" s="27"/>
    </row>
    <row r="18" spans="1:9" s="15" customFormat="1" x14ac:dyDescent="0.25">
      <c r="A18" s="36"/>
      <c r="B18" s="37"/>
      <c r="C18" s="37"/>
      <c r="D18" s="37"/>
      <c r="E18" s="37" t="s">
        <v>216</v>
      </c>
      <c r="F18" s="37"/>
      <c r="G18" s="116"/>
      <c r="H18" s="117"/>
      <c r="I18" s="116"/>
    </row>
    <row r="19" spans="1:9" s="15" customFormat="1" x14ac:dyDescent="0.25">
      <c r="A19" s="51" t="s">
        <v>66</v>
      </c>
      <c r="B19" s="37"/>
      <c r="C19" s="37"/>
      <c r="D19" s="37"/>
      <c r="E19" s="37"/>
      <c r="F19" s="37"/>
      <c r="G19" s="116"/>
      <c r="H19" s="117"/>
      <c r="I19" s="116"/>
    </row>
    <row r="20" spans="1:9" x14ac:dyDescent="0.25">
      <c r="A20" s="12">
        <v>1000</v>
      </c>
      <c r="B20" s="150"/>
      <c r="C20" s="150"/>
      <c r="D20" s="38"/>
      <c r="E20" s="52"/>
      <c r="F20" s="52"/>
      <c r="G20" s="37" t="s">
        <v>46</v>
      </c>
      <c r="H20" s="37"/>
      <c r="I20" s="37"/>
    </row>
    <row r="21" spans="1:9" x14ac:dyDescent="0.25">
      <c r="A21" s="11" t="s">
        <v>94</v>
      </c>
      <c r="B21" s="11"/>
      <c r="C21" s="11"/>
      <c r="D21" s="11"/>
      <c r="E21" s="124" t="s">
        <v>157</v>
      </c>
      <c r="F21" s="123" t="s">
        <v>85</v>
      </c>
      <c r="G21" s="11" t="s">
        <v>211</v>
      </c>
      <c r="H21" s="47"/>
      <c r="I21" s="49" t="s">
        <v>197</v>
      </c>
    </row>
    <row r="22" spans="1:9" x14ac:dyDescent="0.25">
      <c r="A22" s="11" t="s">
        <v>95</v>
      </c>
      <c r="B22" s="11"/>
      <c r="C22" s="14"/>
      <c r="D22" s="14"/>
      <c r="E22" s="12">
        <v>30</v>
      </c>
      <c r="F22" s="122">
        <f>E22/100*$A$20</f>
        <v>300</v>
      </c>
      <c r="G22" s="46">
        <v>1.66</v>
      </c>
      <c r="H22" s="48">
        <f>F22*G22</f>
        <v>498</v>
      </c>
      <c r="I22" s="11" t="s">
        <v>46</v>
      </c>
    </row>
    <row r="23" spans="1:9" x14ac:dyDescent="0.25">
      <c r="A23" s="11" t="s">
        <v>96</v>
      </c>
      <c r="B23" s="11"/>
      <c r="C23" s="14"/>
      <c r="D23" s="14"/>
      <c r="E23" s="12">
        <v>70</v>
      </c>
      <c r="F23" s="122">
        <f>E23/100*$A$20</f>
        <v>700</v>
      </c>
      <c r="G23" s="46">
        <v>0.9</v>
      </c>
      <c r="H23" s="48">
        <f>F23*G23</f>
        <v>630</v>
      </c>
      <c r="I23" s="11" t="s">
        <v>46</v>
      </c>
    </row>
    <row r="24" spans="1:9" x14ac:dyDescent="0.25">
      <c r="A24" s="11" t="s">
        <v>159</v>
      </c>
      <c r="B24" s="11"/>
      <c r="C24" s="14"/>
      <c r="D24" s="14"/>
      <c r="E24" s="128">
        <f>SUM(E22:E23)</f>
        <v>100</v>
      </c>
      <c r="F24" s="109" t="str">
        <f>IF(E24=100,"100% er OK","skal være 100%!")</f>
        <v>100% er OK</v>
      </c>
      <c r="G24" s="46"/>
      <c r="H24" s="48"/>
      <c r="I24" s="11"/>
    </row>
    <row r="25" spans="1:9" x14ac:dyDescent="0.25">
      <c r="A25" s="129" t="s">
        <v>97</v>
      </c>
      <c r="B25" s="129"/>
      <c r="C25" s="130"/>
      <c r="D25" s="130"/>
      <c r="E25" s="134">
        <v>0</v>
      </c>
      <c r="F25" s="131"/>
      <c r="G25" s="132">
        <v>1.42</v>
      </c>
      <c r="H25" s="133"/>
      <c r="I25" s="129"/>
    </row>
    <row r="26" spans="1:9" x14ac:dyDescent="0.25">
      <c r="A26" s="129" t="s">
        <v>109</v>
      </c>
      <c r="B26" s="129"/>
      <c r="C26" s="130"/>
      <c r="D26" s="130"/>
      <c r="E26" s="134">
        <v>0</v>
      </c>
      <c r="F26" s="131"/>
      <c r="G26" s="132" t="s">
        <v>103</v>
      </c>
      <c r="H26" s="133"/>
      <c r="I26" s="129"/>
    </row>
    <row r="27" spans="1:9" x14ac:dyDescent="0.25">
      <c r="A27" s="129" t="s">
        <v>212</v>
      </c>
      <c r="B27" s="129"/>
      <c r="C27" s="130"/>
      <c r="D27" s="130"/>
      <c r="E27" s="130"/>
      <c r="F27" s="131"/>
      <c r="G27" s="132"/>
      <c r="H27" s="133"/>
      <c r="I27" s="129"/>
    </row>
    <row r="28" spans="1:9" x14ac:dyDescent="0.25">
      <c r="A28" s="129" t="s">
        <v>165</v>
      </c>
      <c r="B28" s="129"/>
      <c r="C28" s="130"/>
      <c r="D28" s="130"/>
      <c r="E28" s="130"/>
      <c r="F28" s="131"/>
      <c r="G28" s="132"/>
      <c r="H28" s="133"/>
      <c r="I28" s="129"/>
    </row>
    <row r="29" spans="1:9" x14ac:dyDescent="0.25">
      <c r="A29" s="77" t="s">
        <v>98</v>
      </c>
      <c r="B29" s="78"/>
      <c r="C29" s="78"/>
      <c r="D29" s="78"/>
      <c r="E29" s="125" t="s">
        <v>156</v>
      </c>
      <c r="F29" s="125" t="s">
        <v>158</v>
      </c>
      <c r="G29" s="78"/>
      <c r="H29" s="79"/>
      <c r="I29" s="78"/>
    </row>
    <row r="30" spans="1:9" x14ac:dyDescent="0.25">
      <c r="A30" s="78" t="s">
        <v>99</v>
      </c>
      <c r="B30" s="78"/>
      <c r="C30" s="78"/>
      <c r="D30" s="78"/>
      <c r="E30" s="12">
        <v>30</v>
      </c>
      <c r="F30" s="122">
        <f>E30/100*$A$20</f>
        <v>300</v>
      </c>
      <c r="G30" s="151">
        <v>2.11</v>
      </c>
      <c r="H30" s="79">
        <f>F30*G30</f>
        <v>633</v>
      </c>
      <c r="I30" s="78" t="s">
        <v>46</v>
      </c>
    </row>
    <row r="31" spans="1:9" x14ac:dyDescent="0.25">
      <c r="A31" s="78" t="s">
        <v>100</v>
      </c>
      <c r="B31" s="78"/>
      <c r="C31" s="78"/>
      <c r="D31" s="78"/>
      <c r="E31" s="12">
        <v>0</v>
      </c>
      <c r="F31" s="122">
        <f t="shared" ref="F31:F36" si="2">E31/100*$A$20</f>
        <v>0</v>
      </c>
      <c r="G31" s="151">
        <v>2.92</v>
      </c>
      <c r="H31" s="79">
        <f t="shared" ref="H31:H36" si="3">F31*G31</f>
        <v>0</v>
      </c>
      <c r="I31" s="78" t="s">
        <v>46</v>
      </c>
    </row>
    <row r="32" spans="1:9" x14ac:dyDescent="0.25">
      <c r="A32" s="78" t="s">
        <v>155</v>
      </c>
      <c r="B32" s="78"/>
      <c r="C32" s="78"/>
      <c r="D32" s="78"/>
      <c r="E32" s="12">
        <v>0</v>
      </c>
      <c r="F32" s="122">
        <f t="shared" si="2"/>
        <v>0</v>
      </c>
      <c r="G32" s="148">
        <v>4.99</v>
      </c>
      <c r="H32" s="79">
        <f t="shared" si="3"/>
        <v>0</v>
      </c>
      <c r="I32" s="78" t="s">
        <v>46</v>
      </c>
    </row>
    <row r="33" spans="1:10" x14ac:dyDescent="0.25">
      <c r="A33" s="78" t="s">
        <v>228</v>
      </c>
      <c r="B33" s="78"/>
      <c r="C33" s="78"/>
      <c r="D33" s="78"/>
      <c r="E33" s="12">
        <v>10</v>
      </c>
      <c r="F33" s="122">
        <f t="shared" si="2"/>
        <v>100</v>
      </c>
      <c r="G33" s="151">
        <v>3</v>
      </c>
      <c r="H33" s="79">
        <f t="shared" si="3"/>
        <v>300</v>
      </c>
      <c r="I33" s="78" t="s">
        <v>46</v>
      </c>
    </row>
    <row r="34" spans="1:10" x14ac:dyDescent="0.25">
      <c r="A34" s="78" t="s">
        <v>214</v>
      </c>
      <c r="B34" s="78"/>
      <c r="C34" s="78"/>
      <c r="D34" s="78"/>
      <c r="E34" s="12">
        <v>0</v>
      </c>
      <c r="F34" s="122">
        <f t="shared" si="2"/>
        <v>0</v>
      </c>
      <c r="G34" s="148">
        <v>3.26</v>
      </c>
      <c r="H34" s="79">
        <f t="shared" si="3"/>
        <v>0</v>
      </c>
      <c r="I34" s="78" t="s">
        <v>46</v>
      </c>
    </row>
    <row r="35" spans="1:10" x14ac:dyDescent="0.25">
      <c r="A35" s="78" t="s">
        <v>227</v>
      </c>
      <c r="B35" s="78"/>
      <c r="C35" s="78"/>
      <c r="D35" s="78"/>
      <c r="E35" s="12">
        <v>0</v>
      </c>
      <c r="F35" s="122">
        <f t="shared" si="2"/>
        <v>0</v>
      </c>
      <c r="G35" s="169">
        <v>3.95</v>
      </c>
      <c r="H35" s="79">
        <f t="shared" si="3"/>
        <v>0</v>
      </c>
      <c r="I35" s="78" t="s">
        <v>46</v>
      </c>
    </row>
    <row r="36" spans="1:10" x14ac:dyDescent="0.25">
      <c r="A36" s="78" t="s">
        <v>102</v>
      </c>
      <c r="B36" s="78"/>
      <c r="C36" s="78"/>
      <c r="D36" s="78"/>
      <c r="E36" s="12">
        <v>60</v>
      </c>
      <c r="F36" s="122">
        <f t="shared" si="2"/>
        <v>600</v>
      </c>
      <c r="G36" s="151">
        <v>2.5099999999999998</v>
      </c>
      <c r="H36" s="79">
        <f t="shared" si="3"/>
        <v>1505.9999999999998</v>
      </c>
      <c r="I36" s="78" t="s">
        <v>46</v>
      </c>
    </row>
    <row r="37" spans="1:10" x14ac:dyDescent="0.25">
      <c r="A37" s="37" t="s">
        <v>105</v>
      </c>
      <c r="B37" s="37"/>
      <c r="C37" s="37"/>
      <c r="D37" s="37"/>
      <c r="E37" s="127">
        <f>SUM(E30:E36)</f>
        <v>100</v>
      </c>
      <c r="F37" s="109" t="str">
        <f>IF(E37=100,"100% er OK","skal være 100%!")</f>
        <v>100% er OK</v>
      </c>
      <c r="G37" s="36"/>
      <c r="H37" s="91">
        <f>H22+H23+H30+H31+H32+H33+H34+H35+H36</f>
        <v>3567</v>
      </c>
      <c r="I37" s="37" t="s">
        <v>46</v>
      </c>
    </row>
    <row r="38" spans="1:10" x14ac:dyDescent="0.25">
      <c r="A38" s="27" t="s">
        <v>213</v>
      </c>
      <c r="B38" s="27"/>
      <c r="C38" s="27"/>
      <c r="D38" s="27"/>
      <c r="E38" s="27"/>
      <c r="F38" s="27"/>
      <c r="G38" s="76"/>
      <c r="H38" s="90">
        <f>H14+H37</f>
        <v>5957</v>
      </c>
      <c r="I38" s="27" t="s">
        <v>46</v>
      </c>
    </row>
    <row r="39" spans="1:10" x14ac:dyDescent="0.25">
      <c r="A39" s="27" t="s">
        <v>215</v>
      </c>
      <c r="B39" s="27"/>
      <c r="C39" s="27"/>
      <c r="D39" s="27"/>
      <c r="E39" s="27"/>
      <c r="F39" s="27"/>
      <c r="G39" s="76"/>
      <c r="H39" s="90"/>
      <c r="I39" s="27"/>
    </row>
    <row r="40" spans="1:10" x14ac:dyDescent="0.25">
      <c r="A40" s="27" t="s">
        <v>147</v>
      </c>
      <c r="B40" s="27"/>
      <c r="C40" s="27"/>
      <c r="D40" s="27"/>
      <c r="E40" s="27"/>
      <c r="F40" s="27"/>
      <c r="G40" s="76"/>
      <c r="H40" s="90"/>
      <c r="I40" s="27"/>
    </row>
    <row r="41" spans="1:10" x14ac:dyDescent="0.25">
      <c r="A41" s="152" t="s">
        <v>217</v>
      </c>
      <c r="B41" s="83"/>
      <c r="C41" s="83"/>
      <c r="D41" s="83"/>
      <c r="E41" s="62"/>
      <c r="F41" s="62"/>
      <c r="G41" s="63"/>
      <c r="H41" s="62"/>
      <c r="I41" s="62"/>
      <c r="J41" s="62"/>
    </row>
    <row r="42" spans="1:10" x14ac:dyDescent="0.25">
      <c r="A42" s="152" t="s">
        <v>230</v>
      </c>
      <c r="B42" s="83"/>
      <c r="C42" s="83"/>
      <c r="D42" s="83"/>
      <c r="E42" s="62"/>
      <c r="F42" s="62"/>
      <c r="G42" s="63"/>
      <c r="H42" s="62"/>
      <c r="I42" s="62"/>
      <c r="J42" s="62"/>
    </row>
    <row r="43" spans="1:10" x14ac:dyDescent="0.25">
      <c r="A43" s="82" t="s">
        <v>229</v>
      </c>
      <c r="B43" s="15"/>
      <c r="C43" s="15"/>
      <c r="D43" s="15"/>
      <c r="E43" s="15"/>
      <c r="F43" s="15"/>
      <c r="G43" s="15"/>
      <c r="H43" s="15"/>
      <c r="I43" s="15"/>
    </row>
    <row r="44" spans="1:10" x14ac:dyDescent="0.25">
      <c r="A44" s="82"/>
      <c r="B44" s="15"/>
      <c r="C44" s="15"/>
      <c r="D44" s="15"/>
      <c r="E44" s="15"/>
      <c r="F44" s="15"/>
      <c r="G44" s="15" t="s">
        <v>110</v>
      </c>
      <c r="H44" s="15"/>
      <c r="I44" s="15"/>
    </row>
    <row r="45" spans="1:10" x14ac:dyDescent="0.25">
      <c r="A45" t="s">
        <v>284</v>
      </c>
      <c r="B45" s="15"/>
      <c r="C45" s="15"/>
      <c r="D45" s="66"/>
      <c r="E45" s="66"/>
      <c r="F45" s="66"/>
      <c r="G45" s="15"/>
      <c r="H45" s="15"/>
      <c r="I45" s="15"/>
    </row>
    <row r="46" spans="1:10" x14ac:dyDescent="0.25">
      <c r="A46" t="s">
        <v>282</v>
      </c>
      <c r="B46" s="67"/>
      <c r="C46" s="67"/>
      <c r="D46" s="68"/>
      <c r="E46" s="69"/>
      <c r="F46" s="69"/>
      <c r="G46" s="15"/>
      <c r="H46" s="15"/>
      <c r="I46" s="15"/>
    </row>
    <row r="47" spans="1:10" x14ac:dyDescent="0.25">
      <c r="A47" t="s">
        <v>283</v>
      </c>
      <c r="B47" s="15"/>
      <c r="C47" s="15"/>
      <c r="D47" s="68"/>
      <c r="E47" s="70"/>
      <c r="F47" s="70"/>
      <c r="G47" s="15"/>
      <c r="H47" s="15"/>
      <c r="I47" s="15"/>
    </row>
    <row r="48" spans="1:10" x14ac:dyDescent="0.25">
      <c r="A48" t="s">
        <v>293</v>
      </c>
      <c r="B48" s="66"/>
      <c r="C48" s="15"/>
      <c r="D48" s="66"/>
      <c r="E48" s="15"/>
      <c r="F48" s="15"/>
      <c r="G48" s="71"/>
      <c r="H48" s="15"/>
      <c r="I48" s="15"/>
    </row>
    <row r="49" spans="1:9" x14ac:dyDescent="0.25">
      <c r="A49" s="15"/>
      <c r="B49" s="15"/>
      <c r="C49" s="15"/>
      <c r="D49" s="15"/>
      <c r="E49" s="72"/>
      <c r="F49" s="15"/>
      <c r="G49" s="15"/>
      <c r="H49" s="15"/>
      <c r="I49" s="70"/>
    </row>
    <row r="50" spans="1:9" x14ac:dyDescent="0.25">
      <c r="A50" s="15"/>
      <c r="B50" s="15"/>
      <c r="C50" s="15"/>
      <c r="D50" s="15"/>
      <c r="E50" s="72"/>
      <c r="F50" s="15"/>
      <c r="G50" s="15"/>
      <c r="H50" s="15"/>
      <c r="I50" s="15"/>
    </row>
    <row r="51" spans="1:9" x14ac:dyDescent="0.25">
      <c r="A51" s="15"/>
      <c r="B51" s="15"/>
      <c r="C51" s="15"/>
      <c r="D51" s="15"/>
      <c r="E51" s="72"/>
      <c r="F51" s="15"/>
      <c r="G51" s="15"/>
      <c r="H51" s="15"/>
      <c r="I51" s="15"/>
    </row>
    <row r="52" spans="1:9" x14ac:dyDescent="0.25">
      <c r="A52" s="15"/>
      <c r="B52" s="15"/>
      <c r="C52" s="15"/>
      <c r="D52" s="15"/>
      <c r="E52" s="20"/>
      <c r="F52" s="15"/>
      <c r="G52" s="15"/>
      <c r="H52" s="15"/>
      <c r="I52" s="15"/>
    </row>
    <row r="53" spans="1:9" x14ac:dyDescent="0.25">
      <c r="A53" s="15"/>
      <c r="B53" s="15"/>
      <c r="C53" s="15"/>
      <c r="D53" s="15"/>
      <c r="E53" s="20"/>
      <c r="F53" s="15"/>
      <c r="G53" s="15"/>
      <c r="H53" s="15"/>
      <c r="I53" s="15"/>
    </row>
    <row r="54" spans="1:9" x14ac:dyDescent="0.25">
      <c r="A54" s="65"/>
      <c r="B54" s="15"/>
      <c r="C54" s="15"/>
      <c r="D54" s="15"/>
      <c r="E54" s="15"/>
      <c r="F54" s="15"/>
      <c r="G54" s="66"/>
      <c r="H54" s="15"/>
      <c r="I54" s="15"/>
    </row>
    <row r="55" spans="1:9" x14ac:dyDescent="0.25">
      <c r="A55" s="15"/>
      <c r="B55" s="15"/>
      <c r="C55" s="66"/>
      <c r="D55" s="66"/>
      <c r="E55" s="66"/>
      <c r="F55" s="15"/>
      <c r="G55" s="66"/>
      <c r="H55" s="73"/>
      <c r="I55" s="15"/>
    </row>
    <row r="56" spans="1:9" x14ac:dyDescent="0.25">
      <c r="A56" s="15"/>
      <c r="B56" s="15"/>
      <c r="C56" s="67"/>
      <c r="D56" s="67"/>
      <c r="E56" s="67"/>
      <c r="F56" s="72"/>
      <c r="G56" s="66"/>
      <c r="H56" s="74"/>
      <c r="I56" s="71"/>
    </row>
    <row r="57" spans="1:9" x14ac:dyDescent="0.25">
      <c r="A57" s="15"/>
      <c r="B57" s="15"/>
      <c r="C57" s="67"/>
      <c r="D57" s="67"/>
      <c r="E57" s="67"/>
      <c r="F57" s="72"/>
      <c r="G57" s="66"/>
      <c r="H57" s="74"/>
      <c r="I57" s="71"/>
    </row>
    <row r="58" spans="1:9" x14ac:dyDescent="0.25">
      <c r="A58" s="15"/>
      <c r="B58" s="15"/>
      <c r="C58" s="67"/>
      <c r="D58" s="67"/>
      <c r="E58" s="67"/>
      <c r="F58" s="72"/>
      <c r="G58" s="66"/>
      <c r="H58" s="74"/>
      <c r="I58" s="71"/>
    </row>
    <row r="59" spans="1:9" x14ac:dyDescent="0.25">
      <c r="A59" s="15"/>
      <c r="B59" s="15"/>
      <c r="C59" s="15"/>
      <c r="D59" s="15"/>
      <c r="E59" s="15"/>
      <c r="F59" s="15"/>
      <c r="G59" s="15"/>
      <c r="H59" s="74"/>
      <c r="I59" s="71"/>
    </row>
    <row r="60" spans="1:9" x14ac:dyDescent="0.25">
      <c r="A60" s="15"/>
      <c r="B60" s="15"/>
      <c r="C60" s="15"/>
      <c r="D60" s="15"/>
      <c r="E60" s="15"/>
      <c r="F60" s="15"/>
      <c r="G60" s="15"/>
      <c r="H60" s="15"/>
      <c r="I60" s="15"/>
    </row>
    <row r="61" spans="1:9" x14ac:dyDescent="0.25">
      <c r="A61" s="15"/>
      <c r="B61" s="15"/>
      <c r="C61" s="15"/>
      <c r="D61" s="15"/>
      <c r="E61" s="15"/>
      <c r="F61" s="15"/>
      <c r="G61" s="20"/>
      <c r="H61" s="75"/>
      <c r="I61" s="15"/>
    </row>
  </sheetData>
  <sheetProtection password="DEC8" sheet="1" objects="1" scenario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0" zoomScale="140" zoomScaleNormal="140" workbookViewId="0">
      <selection activeCell="I8" sqref="I8"/>
    </sheetView>
  </sheetViews>
  <sheetFormatPr defaultRowHeight="15" x14ac:dyDescent="0.25"/>
  <cols>
    <col min="1" max="1" width="15.85546875" customWidth="1"/>
    <col min="5" max="5" width="10" customWidth="1"/>
    <col min="6" max="6" width="11.7109375" customWidth="1"/>
  </cols>
  <sheetData>
    <row r="1" spans="1:14" ht="18.75" x14ac:dyDescent="0.3">
      <c r="A1" s="8" t="s">
        <v>112</v>
      </c>
    </row>
    <row r="2" spans="1:14" x14ac:dyDescent="0.25">
      <c r="A2" t="s">
        <v>233</v>
      </c>
    </row>
    <row r="3" spans="1:14" x14ac:dyDescent="0.25">
      <c r="A3" s="95" t="s">
        <v>120</v>
      </c>
      <c r="B3" s="96"/>
      <c r="C3" s="96"/>
      <c r="D3" s="96"/>
      <c r="E3" s="96"/>
      <c r="F3" s="96"/>
      <c r="G3" s="96"/>
      <c r="H3" s="96"/>
    </row>
    <row r="4" spans="1:14" x14ac:dyDescent="0.25">
      <c r="A4" s="96" t="s">
        <v>118</v>
      </c>
      <c r="B4" s="97" t="s">
        <v>31</v>
      </c>
      <c r="C4" s="96" t="s">
        <v>117</v>
      </c>
      <c r="D4" s="96" t="s">
        <v>61</v>
      </c>
      <c r="E4" s="96" t="s">
        <v>122</v>
      </c>
      <c r="F4" s="97" t="s">
        <v>113</v>
      </c>
      <c r="G4" s="96" t="s">
        <v>114</v>
      </c>
      <c r="H4" s="97" t="s">
        <v>115</v>
      </c>
    </row>
    <row r="5" spans="1:14" x14ac:dyDescent="0.25">
      <c r="A5" s="96" t="s">
        <v>70</v>
      </c>
      <c r="B5" s="13">
        <v>208.32</v>
      </c>
      <c r="C5" s="89">
        <v>7.1</v>
      </c>
      <c r="D5" s="89">
        <v>31</v>
      </c>
      <c r="E5" s="98">
        <f>1/((D5-C5)/5167)</f>
        <v>216.19246861924688</v>
      </c>
      <c r="F5" s="99">
        <f>B5*(D5-C5)/5167</f>
        <v>0.96358583317205337</v>
      </c>
      <c r="G5" s="96">
        <v>29.2</v>
      </c>
      <c r="H5" s="99">
        <f>F5*G5</f>
        <v>28.136706328623958</v>
      </c>
    </row>
    <row r="6" spans="1:14" x14ac:dyDescent="0.25">
      <c r="A6" s="96" t="s">
        <v>71</v>
      </c>
      <c r="B6" s="13">
        <v>1000</v>
      </c>
      <c r="C6" s="89">
        <v>8</v>
      </c>
      <c r="D6" s="89">
        <v>35</v>
      </c>
      <c r="E6" s="98">
        <f t="shared" ref="E6:E8" si="0">1/((D6-C6)/5167)</f>
        <v>191.37037037037038</v>
      </c>
      <c r="F6" s="99">
        <f t="shared" ref="F6:F8" si="1">B6*(D6-C6)/5167</f>
        <v>5.2254693245597057</v>
      </c>
      <c r="G6" s="96">
        <v>29.2</v>
      </c>
      <c r="H6" s="99">
        <f t="shared" ref="H6:H8" si="2">F6*G6</f>
        <v>152.5837042771434</v>
      </c>
    </row>
    <row r="7" spans="1:14" x14ac:dyDescent="0.25">
      <c r="A7" s="96" t="s">
        <v>119</v>
      </c>
      <c r="B7" s="13">
        <v>1000</v>
      </c>
      <c r="C7" s="89">
        <v>7</v>
      </c>
      <c r="D7" s="89">
        <v>30</v>
      </c>
      <c r="E7" s="98">
        <f t="shared" si="0"/>
        <v>224.6521739130435</v>
      </c>
      <c r="F7" s="99">
        <f t="shared" si="1"/>
        <v>4.4513257209212309</v>
      </c>
      <c r="G7" s="96">
        <v>29.4</v>
      </c>
      <c r="H7" s="99">
        <f t="shared" si="2"/>
        <v>130.86897619508417</v>
      </c>
    </row>
    <row r="8" spans="1:14" x14ac:dyDescent="0.25">
      <c r="A8" s="96" t="s">
        <v>116</v>
      </c>
      <c r="B8" s="13">
        <v>1000</v>
      </c>
      <c r="C8" s="89">
        <v>6</v>
      </c>
      <c r="D8" s="89">
        <v>25</v>
      </c>
      <c r="E8" s="98">
        <f t="shared" si="0"/>
        <v>271.94736842105266</v>
      </c>
      <c r="F8" s="99">
        <f t="shared" si="1"/>
        <v>3.6771821172827561</v>
      </c>
      <c r="G8" s="96">
        <v>30.6</v>
      </c>
      <c r="H8" s="99">
        <f t="shared" si="2"/>
        <v>112.52177278885235</v>
      </c>
    </row>
    <row r="9" spans="1:14" x14ac:dyDescent="0.25">
      <c r="A9" s="96" t="s">
        <v>121</v>
      </c>
      <c r="B9" s="96"/>
      <c r="C9" s="96"/>
      <c r="D9" s="96"/>
      <c r="E9" s="96"/>
      <c r="F9" s="96"/>
      <c r="G9" s="96"/>
      <c r="H9" s="99">
        <f>SUM(H5:H8)</f>
        <v>424.1111595897039</v>
      </c>
    </row>
    <row r="10" spans="1:14" x14ac:dyDescent="0.25">
      <c r="A10" s="93" t="s">
        <v>126</v>
      </c>
    </row>
    <row r="11" spans="1:14" x14ac:dyDescent="0.25">
      <c r="A11" s="35" t="s">
        <v>124</v>
      </c>
      <c r="B11" s="11"/>
      <c r="C11" s="11"/>
      <c r="D11" s="11"/>
      <c r="E11" s="11"/>
      <c r="F11" s="11"/>
      <c r="G11" s="11"/>
      <c r="H11" s="11"/>
    </row>
    <row r="12" spans="1:14" x14ac:dyDescent="0.25">
      <c r="A12" s="11" t="s">
        <v>118</v>
      </c>
      <c r="B12" s="46" t="s">
        <v>31</v>
      </c>
      <c r="C12" s="11" t="s">
        <v>117</v>
      </c>
      <c r="D12" s="11" t="s">
        <v>61</v>
      </c>
      <c r="E12" s="11" t="s">
        <v>123</v>
      </c>
      <c r="F12" s="46" t="s">
        <v>113</v>
      </c>
      <c r="G12" s="11" t="s">
        <v>114</v>
      </c>
      <c r="H12" s="46" t="s">
        <v>115</v>
      </c>
    </row>
    <row r="13" spans="1:14" x14ac:dyDescent="0.25">
      <c r="A13" s="11" t="s">
        <v>70</v>
      </c>
      <c r="B13" s="13">
        <v>1000</v>
      </c>
      <c r="C13" s="89">
        <v>31</v>
      </c>
      <c r="D13" s="89">
        <v>110</v>
      </c>
      <c r="E13" s="92">
        <f>IF(D13&gt;87,1/((40-C13)/5167+(87-40)/3088+(D13-87)/2254),1/((40-C13)/5167+(D13-40)/3088))</f>
        <v>36.810567525973248</v>
      </c>
      <c r="F13" s="92">
        <f>B13/E13</f>
        <v>27.16611199472564</v>
      </c>
      <c r="G13" s="11">
        <v>22.3</v>
      </c>
      <c r="H13" s="100">
        <f>F13*G13</f>
        <v>605.8042974823818</v>
      </c>
      <c r="N13" s="102"/>
    </row>
    <row r="14" spans="1:14" x14ac:dyDescent="0.25">
      <c r="A14" s="11" t="s">
        <v>71</v>
      </c>
      <c r="B14" s="13">
        <v>1000</v>
      </c>
      <c r="C14" s="89">
        <v>32</v>
      </c>
      <c r="D14" s="89">
        <v>107</v>
      </c>
      <c r="E14" s="92">
        <f t="shared" ref="E14:E16" si="3">IF(D14&gt;87,1/((40-C14)/5167+(87-40)/3088+(D14-87)/2254),1/((40-C14)/5167+(D14-40)/3088))</f>
        <v>38.999112846260587</v>
      </c>
      <c r="F14" s="92">
        <f t="shared" ref="F14:F16" si="4">B14/E14</f>
        <v>25.641608924339533</v>
      </c>
      <c r="G14" s="11">
        <v>22.3</v>
      </c>
      <c r="H14" s="100">
        <f t="shared" ref="H14:H16" si="5">F14*G14</f>
        <v>571.80787901277165</v>
      </c>
    </row>
    <row r="15" spans="1:14" x14ac:dyDescent="0.25">
      <c r="A15" s="11" t="s">
        <v>119</v>
      </c>
      <c r="B15" s="13">
        <v>0</v>
      </c>
      <c r="C15" s="89">
        <v>7</v>
      </c>
      <c r="D15" s="89">
        <v>100</v>
      </c>
      <c r="E15" s="92">
        <f t="shared" si="3"/>
        <v>36.530459168039776</v>
      </c>
      <c r="F15" s="92">
        <f t="shared" si="4"/>
        <v>0</v>
      </c>
      <c r="G15" s="11">
        <v>22.5</v>
      </c>
      <c r="H15" s="100">
        <f t="shared" si="5"/>
        <v>0</v>
      </c>
    </row>
    <row r="16" spans="1:14" x14ac:dyDescent="0.25">
      <c r="A16" s="11" t="s">
        <v>116</v>
      </c>
      <c r="B16" s="13">
        <v>0</v>
      </c>
      <c r="C16" s="89">
        <v>35</v>
      </c>
      <c r="D16" s="89">
        <v>110</v>
      </c>
      <c r="E16" s="92">
        <f t="shared" si="3"/>
        <v>37.890315158823476</v>
      </c>
      <c r="F16" s="92">
        <f t="shared" si="4"/>
        <v>0</v>
      </c>
      <c r="G16" s="11">
        <v>23.8</v>
      </c>
      <c r="H16" s="100">
        <f t="shared" si="5"/>
        <v>0</v>
      </c>
    </row>
    <row r="17" spans="1:8" x14ac:dyDescent="0.25">
      <c r="A17" s="35" t="s">
        <v>125</v>
      </c>
      <c r="B17" s="11"/>
      <c r="C17" s="11"/>
      <c r="D17" s="11"/>
      <c r="E17" s="11"/>
      <c r="F17" s="100"/>
      <c r="G17" s="11"/>
      <c r="H17" s="100"/>
    </row>
    <row r="18" spans="1:8" x14ac:dyDescent="0.25">
      <c r="A18" s="11" t="s">
        <v>70</v>
      </c>
      <c r="B18" s="13">
        <v>0</v>
      </c>
      <c r="C18" s="89">
        <v>43</v>
      </c>
      <c r="D18" s="89">
        <v>88</v>
      </c>
      <c r="E18" s="92">
        <f>1/((87-C18)/3088+(D18-87)/2254)</f>
        <v>68.062583118203861</v>
      </c>
      <c r="F18" s="92">
        <f>B18/E18</f>
        <v>0</v>
      </c>
      <c r="G18" s="11">
        <v>22.3</v>
      </c>
      <c r="H18" s="100">
        <f>F18*G18</f>
        <v>0</v>
      </c>
    </row>
    <row r="19" spans="1:8" x14ac:dyDescent="0.25">
      <c r="A19" s="11" t="s">
        <v>71</v>
      </c>
      <c r="B19" s="13">
        <v>1000</v>
      </c>
      <c r="C19" s="89">
        <v>65</v>
      </c>
      <c r="D19" s="89">
        <v>110</v>
      </c>
      <c r="E19" s="92">
        <f t="shared" ref="E19:E21" si="6">1/((87-C19)/3088+(D19-87)/2254)</f>
        <v>57.708619374523266</v>
      </c>
      <c r="F19" s="92">
        <f t="shared" ref="F19:F21" si="7">B19/E19</f>
        <v>17.328433964259279</v>
      </c>
      <c r="G19" s="11">
        <v>22.3</v>
      </c>
      <c r="H19" s="100">
        <f t="shared" ref="H19:H21" si="8">F19*G19</f>
        <v>386.42407740298194</v>
      </c>
    </row>
    <row r="20" spans="1:8" x14ac:dyDescent="0.25">
      <c r="A20" s="11" t="s">
        <v>119</v>
      </c>
      <c r="B20" s="13">
        <v>0</v>
      </c>
      <c r="C20" s="89">
        <v>42</v>
      </c>
      <c r="D20" s="89">
        <v>110</v>
      </c>
      <c r="E20" s="92">
        <f t="shared" si="6"/>
        <v>40.360629501200322</v>
      </c>
      <c r="F20" s="92">
        <f t="shared" si="7"/>
        <v>0</v>
      </c>
      <c r="G20" s="11">
        <v>22.5</v>
      </c>
      <c r="H20" s="100">
        <f t="shared" si="8"/>
        <v>0</v>
      </c>
    </row>
    <row r="21" spans="1:8" x14ac:dyDescent="0.25">
      <c r="A21" s="11" t="s">
        <v>116</v>
      </c>
      <c r="B21" s="13">
        <v>0</v>
      </c>
      <c r="C21" s="89">
        <v>50</v>
      </c>
      <c r="D21" s="89">
        <v>110</v>
      </c>
      <c r="E21" s="92">
        <f t="shared" si="6"/>
        <v>45.073577599046772</v>
      </c>
      <c r="F21" s="92">
        <f t="shared" si="7"/>
        <v>0</v>
      </c>
      <c r="G21" s="11">
        <v>23.8</v>
      </c>
      <c r="H21" s="100">
        <f t="shared" si="8"/>
        <v>0</v>
      </c>
    </row>
    <row r="22" spans="1:8" x14ac:dyDescent="0.25">
      <c r="A22" s="11" t="s">
        <v>148</v>
      </c>
      <c r="B22" s="11"/>
      <c r="C22" s="11"/>
      <c r="D22" s="11"/>
      <c r="E22" s="11"/>
      <c r="F22" s="11"/>
      <c r="G22" s="11"/>
      <c r="H22" s="101">
        <f>H13+H14+H15+H16+H18+H19+H20+H21</f>
        <v>1564.0362538981356</v>
      </c>
    </row>
    <row r="24" spans="1:8" x14ac:dyDescent="0.25">
      <c r="A24" s="103" t="s">
        <v>127</v>
      </c>
      <c r="B24" s="104"/>
      <c r="C24" s="104"/>
      <c r="D24" s="104"/>
      <c r="E24" s="104"/>
      <c r="F24" s="104"/>
      <c r="G24" s="104"/>
      <c r="H24" s="104"/>
    </row>
    <row r="25" spans="1:8" x14ac:dyDescent="0.25">
      <c r="A25" s="103"/>
      <c r="B25" s="104" t="s">
        <v>74</v>
      </c>
      <c r="C25" s="104" t="s">
        <v>76</v>
      </c>
      <c r="D25" s="104"/>
      <c r="E25" s="104" t="s">
        <v>107</v>
      </c>
      <c r="F25" s="104"/>
      <c r="G25" s="104"/>
      <c r="H25" s="104"/>
    </row>
    <row r="26" spans="1:8" x14ac:dyDescent="0.25">
      <c r="A26" s="105" t="s">
        <v>66</v>
      </c>
      <c r="B26" s="104" t="s">
        <v>75</v>
      </c>
      <c r="C26" s="104" t="s">
        <v>77</v>
      </c>
      <c r="D26" s="104" t="s">
        <v>35</v>
      </c>
      <c r="E26" s="104" t="s">
        <v>33</v>
      </c>
      <c r="F26" s="105" t="s">
        <v>34</v>
      </c>
      <c r="G26" s="104"/>
      <c r="H26" s="104"/>
    </row>
    <row r="27" spans="1:8" x14ac:dyDescent="0.25">
      <c r="A27" s="12">
        <v>1500</v>
      </c>
      <c r="B27" s="12">
        <v>30</v>
      </c>
      <c r="C27" s="12">
        <v>8</v>
      </c>
      <c r="D27" s="106">
        <f>1/4.4+B27*(C27-7.2)/5167</f>
        <v>0.2319175888945581</v>
      </c>
      <c r="E27" s="107">
        <f>1/D27</f>
        <v>4.3118764935705345</v>
      </c>
      <c r="F27" s="107">
        <f>A27*D27</f>
        <v>347.87638334183714</v>
      </c>
      <c r="G27" s="104"/>
      <c r="H27" s="104"/>
    </row>
    <row r="28" spans="1:8" x14ac:dyDescent="0.25">
      <c r="A28" s="104"/>
      <c r="B28" s="104"/>
      <c r="C28" s="104"/>
      <c r="D28" s="104"/>
      <c r="E28" s="104"/>
      <c r="F28" s="104"/>
      <c r="G28" s="104"/>
      <c r="H28" s="104"/>
    </row>
    <row r="29" spans="1:8" x14ac:dyDescent="0.25">
      <c r="A29" s="103" t="s">
        <v>136</v>
      </c>
      <c r="B29" s="104"/>
      <c r="C29" s="104"/>
      <c r="D29" s="104"/>
      <c r="E29" s="104"/>
      <c r="F29" s="104"/>
      <c r="G29" s="104"/>
      <c r="H29" s="104"/>
    </row>
    <row r="30" spans="1:8" x14ac:dyDescent="0.25">
      <c r="A30" s="104"/>
      <c r="B30" s="104"/>
      <c r="C30" s="104"/>
      <c r="D30" s="104"/>
      <c r="E30" s="104" t="s">
        <v>130</v>
      </c>
      <c r="F30" s="104" t="s">
        <v>131</v>
      </c>
      <c r="G30" s="104"/>
      <c r="H30" s="104" t="s">
        <v>133</v>
      </c>
    </row>
    <row r="31" spans="1:8" x14ac:dyDescent="0.25">
      <c r="A31" s="104" t="s">
        <v>134</v>
      </c>
      <c r="B31" s="104"/>
      <c r="C31" s="104"/>
      <c r="D31" s="104"/>
      <c r="E31" s="13">
        <v>65</v>
      </c>
      <c r="F31" s="104">
        <v>23.9</v>
      </c>
      <c r="G31" s="104"/>
      <c r="H31" s="108">
        <f>$F$27*E31/100*F31</f>
        <v>5404.2596152154401</v>
      </c>
    </row>
    <row r="32" spans="1:8" x14ac:dyDescent="0.25">
      <c r="A32" s="104" t="s">
        <v>128</v>
      </c>
      <c r="B32" s="104"/>
      <c r="C32" s="104"/>
      <c r="D32" s="104"/>
      <c r="E32" s="13">
        <v>20</v>
      </c>
      <c r="F32" s="104">
        <v>24.5</v>
      </c>
      <c r="G32" s="104"/>
      <c r="H32" s="108">
        <f t="shared" ref="H32:H33" si="9">$F$27*E32/100*F32</f>
        <v>1704.5942783750017</v>
      </c>
    </row>
    <row r="33" spans="1:8" x14ac:dyDescent="0.25">
      <c r="A33" s="104" t="s">
        <v>129</v>
      </c>
      <c r="B33" s="104"/>
      <c r="C33" s="104"/>
      <c r="D33" s="104"/>
      <c r="E33" s="13">
        <v>15</v>
      </c>
      <c r="F33" s="104">
        <v>25.6</v>
      </c>
      <c r="G33" s="104"/>
      <c r="H33" s="108">
        <f t="shared" si="9"/>
        <v>1335.8453120326549</v>
      </c>
    </row>
    <row r="34" spans="1:8" x14ac:dyDescent="0.25">
      <c r="A34" s="104" t="s">
        <v>132</v>
      </c>
      <c r="B34" s="104"/>
      <c r="C34" s="104"/>
      <c r="D34" s="104"/>
      <c r="E34" s="13">
        <f>SUM(E31:E33)</f>
        <v>100</v>
      </c>
      <c r="F34" s="109" t="str">
        <f>IF(E34=100,"100% er OK","skal være 100%!")</f>
        <v>100% er OK</v>
      </c>
      <c r="G34" s="104"/>
      <c r="H34" s="108">
        <f>H31+H32+H33</f>
        <v>8444.6992056230956</v>
      </c>
    </row>
    <row r="35" spans="1:8" x14ac:dyDescent="0.25">
      <c r="A35" s="104" t="s">
        <v>138</v>
      </c>
      <c r="B35" s="104"/>
      <c r="C35" s="104"/>
      <c r="D35" s="104"/>
      <c r="E35" s="13">
        <v>50</v>
      </c>
      <c r="F35" s="110" t="s">
        <v>140</v>
      </c>
      <c r="G35" s="104"/>
      <c r="H35" s="108">
        <f>F27*E35/100*0.7</f>
        <v>121.756734169643</v>
      </c>
    </row>
    <row r="36" spans="1:8" x14ac:dyDescent="0.25">
      <c r="A36" s="104" t="s">
        <v>137</v>
      </c>
      <c r="B36" s="104"/>
      <c r="C36" s="104"/>
      <c r="D36" s="104"/>
      <c r="E36" s="104"/>
      <c r="F36" s="104"/>
      <c r="G36" s="104"/>
      <c r="H36" s="108">
        <f>H34+H35</f>
        <v>8566.4559397927387</v>
      </c>
    </row>
    <row r="37" spans="1:8" x14ac:dyDescent="0.25">
      <c r="A37" s="104" t="s">
        <v>141</v>
      </c>
      <c r="B37" s="104"/>
      <c r="C37" s="104"/>
      <c r="D37" s="104"/>
      <c r="E37" s="104"/>
      <c r="F37" s="104"/>
      <c r="G37" s="104"/>
      <c r="H37" s="111">
        <f>H36/F27</f>
        <v>24.624999999999996</v>
      </c>
    </row>
    <row r="38" spans="1:8" x14ac:dyDescent="0.25">
      <c r="A38" s="104" t="s">
        <v>135</v>
      </c>
      <c r="B38" s="104"/>
      <c r="C38" s="104"/>
      <c r="D38" s="104"/>
      <c r="E38" s="104"/>
      <c r="F38" s="104"/>
      <c r="G38" s="104"/>
      <c r="H38" s="104"/>
    </row>
    <row r="39" spans="1:8" x14ac:dyDescent="0.25">
      <c r="A39" s="104" t="s">
        <v>139</v>
      </c>
      <c r="B39" s="104"/>
      <c r="C39" s="104"/>
      <c r="D39" s="104"/>
      <c r="E39" s="104"/>
      <c r="F39" s="104"/>
      <c r="G39" s="104"/>
      <c r="H39" s="104"/>
    </row>
  </sheetData>
  <sheetProtection password="DEC8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zoomScale="140" zoomScaleNormal="140" workbookViewId="0">
      <selection activeCell="G21" sqref="G21"/>
    </sheetView>
  </sheetViews>
  <sheetFormatPr defaultRowHeight="15" x14ac:dyDescent="0.25"/>
  <cols>
    <col min="1" max="2" width="11.140625" customWidth="1"/>
    <col min="3" max="3" width="11.7109375" customWidth="1"/>
    <col min="4" max="4" width="11.5703125" customWidth="1"/>
    <col min="5" max="5" width="6.5703125" customWidth="1"/>
    <col min="6" max="6" width="10.85546875" customWidth="1"/>
    <col min="7" max="8" width="10" customWidth="1"/>
    <col min="9" max="9" width="11.28515625" customWidth="1"/>
  </cols>
  <sheetData>
    <row r="1" spans="1:9" ht="18.75" x14ac:dyDescent="0.3">
      <c r="A1" s="8" t="s">
        <v>218</v>
      </c>
    </row>
    <row r="2" spans="1:9" ht="15.75" x14ac:dyDescent="0.25">
      <c r="A2" s="94" t="s">
        <v>219</v>
      </c>
    </row>
    <row r="3" spans="1:9" x14ac:dyDescent="0.25">
      <c r="A3" s="4" t="s">
        <v>26</v>
      </c>
    </row>
    <row r="4" spans="1:9" x14ac:dyDescent="0.25">
      <c r="A4" s="6" t="s">
        <v>23</v>
      </c>
    </row>
    <row r="5" spans="1:9" x14ac:dyDescent="0.25">
      <c r="A5" s="6" t="s">
        <v>20</v>
      </c>
    </row>
    <row r="6" spans="1:9" x14ac:dyDescent="0.25">
      <c r="A6" s="6" t="s">
        <v>21</v>
      </c>
    </row>
    <row r="7" spans="1:9" x14ac:dyDescent="0.25">
      <c r="A7" s="6"/>
    </row>
    <row r="8" spans="1:9" x14ac:dyDescent="0.25">
      <c r="A8" s="6" t="s">
        <v>24</v>
      </c>
    </row>
    <row r="9" spans="1:9" x14ac:dyDescent="0.25">
      <c r="A9" s="6" t="s">
        <v>20</v>
      </c>
    </row>
    <row r="10" spans="1:9" x14ac:dyDescent="0.25">
      <c r="A10" s="6" t="s">
        <v>22</v>
      </c>
    </row>
    <row r="11" spans="1:9" x14ac:dyDescent="0.25">
      <c r="A11" s="6"/>
    </row>
    <row r="12" spans="1:9" x14ac:dyDescent="0.25">
      <c r="A12" s="7" t="s">
        <v>25</v>
      </c>
    </row>
    <row r="13" spans="1:9" x14ac:dyDescent="0.25">
      <c r="A13" s="6"/>
    </row>
    <row r="14" spans="1:9" x14ac:dyDescent="0.25">
      <c r="A14" s="3" t="s">
        <v>27</v>
      </c>
      <c r="B14" s="3"/>
      <c r="C14" s="3"/>
      <c r="D14" s="15"/>
      <c r="E14" s="15"/>
      <c r="F14" s="15"/>
      <c r="G14" s="15"/>
      <c r="H14" s="15"/>
      <c r="I14" s="15"/>
    </row>
    <row r="15" spans="1:9" x14ac:dyDescent="0.25">
      <c r="A15" s="2" t="s">
        <v>8</v>
      </c>
    </row>
    <row r="16" spans="1:9" x14ac:dyDescent="0.25">
      <c r="C16" t="s">
        <v>16</v>
      </c>
      <c r="D16" t="s">
        <v>2</v>
      </c>
    </row>
    <row r="17" spans="1:10" x14ac:dyDescent="0.25">
      <c r="A17" t="s">
        <v>0</v>
      </c>
      <c r="B17" t="s">
        <v>1</v>
      </c>
      <c r="C17" t="s">
        <v>3</v>
      </c>
      <c r="D17" t="s">
        <v>4</v>
      </c>
    </row>
    <row r="18" spans="1:10" x14ac:dyDescent="0.25">
      <c r="A18" s="16">
        <v>13.39</v>
      </c>
      <c r="B18" s="16">
        <v>0.16800000000000001</v>
      </c>
      <c r="C18" s="1">
        <f>75*($A$18+$B$18*139)</f>
        <v>2755.6500000000005</v>
      </c>
      <c r="D18" s="1">
        <f>(32-7.4)*($A$18+$B$18*(7.4+32))</f>
        <v>492.22632000000004</v>
      </c>
    </row>
    <row r="19" spans="1:10" x14ac:dyDescent="0.25">
      <c r="A19" s="4" t="s">
        <v>6</v>
      </c>
      <c r="B19" s="4" t="s">
        <v>5</v>
      </c>
      <c r="C19" s="4" t="s">
        <v>7</v>
      </c>
      <c r="D19" s="2" t="s">
        <v>7</v>
      </c>
    </row>
    <row r="20" spans="1:10" x14ac:dyDescent="0.25">
      <c r="A20" s="4"/>
      <c r="B20" s="4"/>
      <c r="C20" s="4" t="s">
        <v>10</v>
      </c>
      <c r="D20" s="2" t="s">
        <v>11</v>
      </c>
    </row>
    <row r="21" spans="1:10" x14ac:dyDescent="0.25">
      <c r="A21" s="12">
        <v>7.1</v>
      </c>
      <c r="B21" s="12">
        <v>31</v>
      </c>
      <c r="C21" s="5" t="str">
        <f>IF(B21&gt;40,(((B21-A21)*($A$18+$B$18*(B21+A21)))/$C$18),("smågris!"))</f>
        <v>smågris!</v>
      </c>
      <c r="D21" s="55">
        <f>IF(B21&lt;40,(((B21-A21)*($A$18+$B$18*(B21+A21)))/$D$18),("slagtesvin!"))</f>
        <v>0.96094032517399708</v>
      </c>
    </row>
    <row r="22" spans="1:10" x14ac:dyDescent="0.25">
      <c r="A22" s="12">
        <v>25</v>
      </c>
      <c r="B22" s="12">
        <v>110</v>
      </c>
      <c r="C22" s="5">
        <f t="shared" ref="C22:C24" si="0">IF(B22&gt;40,(((B22-A22)*($A$18+$B$18*(B22+A22)))/$C$18),("smågris!"))</f>
        <v>1.1126050115217823</v>
      </c>
      <c r="D22" s="5" t="str">
        <f t="shared" ref="D22:D24" si="1">IF(B22&lt;40,(((B22-A22)*($A$18+$B$18*(B22+A22)))/$D$18),("slagtesvin!"))</f>
        <v>slagtesvin!</v>
      </c>
    </row>
    <row r="23" spans="1:10" x14ac:dyDescent="0.25">
      <c r="A23" s="12">
        <v>7.4</v>
      </c>
      <c r="B23" s="12">
        <v>32</v>
      </c>
      <c r="C23" s="5" t="str">
        <f t="shared" si="0"/>
        <v>smågris!</v>
      </c>
      <c r="D23" s="5">
        <f t="shared" si="1"/>
        <v>1</v>
      </c>
    </row>
    <row r="24" spans="1:10" x14ac:dyDescent="0.25">
      <c r="A24" s="12">
        <v>31</v>
      </c>
      <c r="B24" s="12">
        <v>110</v>
      </c>
      <c r="C24" s="55">
        <f t="shared" si="0"/>
        <v>1.0629659064104657</v>
      </c>
      <c r="D24" s="5" t="str">
        <f t="shared" si="1"/>
        <v>slagtesvin!</v>
      </c>
      <c r="F24" s="11" t="s">
        <v>29</v>
      </c>
      <c r="G24" s="11"/>
      <c r="H24" s="11"/>
      <c r="I24" s="11"/>
    </row>
    <row r="25" spans="1:10" x14ac:dyDescent="0.25">
      <c r="E25" s="15"/>
      <c r="F25" s="11" t="s">
        <v>30</v>
      </c>
      <c r="G25" s="11"/>
      <c r="H25" s="11"/>
      <c r="I25" s="11"/>
      <c r="J25" s="15"/>
    </row>
    <row r="26" spans="1:10" x14ac:dyDescent="0.25">
      <c r="A26" s="2" t="s">
        <v>9</v>
      </c>
      <c r="F26" t="s">
        <v>28</v>
      </c>
      <c r="H26" s="14">
        <v>2016</v>
      </c>
    </row>
    <row r="27" spans="1:10" x14ac:dyDescent="0.25">
      <c r="C27" t="s">
        <v>16</v>
      </c>
      <c r="D27" t="s">
        <v>2</v>
      </c>
      <c r="H27" t="s">
        <v>16</v>
      </c>
      <c r="I27" t="s">
        <v>2</v>
      </c>
    </row>
    <row r="28" spans="1:10" x14ac:dyDescent="0.25">
      <c r="A28" t="s">
        <v>0</v>
      </c>
      <c r="B28" t="s">
        <v>1</v>
      </c>
      <c r="C28" t="s">
        <v>3</v>
      </c>
      <c r="D28" t="s">
        <v>4</v>
      </c>
      <c r="F28" t="s">
        <v>0</v>
      </c>
      <c r="G28" t="s">
        <v>1</v>
      </c>
      <c r="H28" t="s">
        <v>3</v>
      </c>
      <c r="I28" t="s">
        <v>4</v>
      </c>
    </row>
    <row r="29" spans="1:10" x14ac:dyDescent="0.25">
      <c r="A29" s="16">
        <v>13.776999999999999</v>
      </c>
      <c r="B29" s="16">
        <v>0.1721</v>
      </c>
      <c r="C29" s="1">
        <f>75*($A$29+$B$29*139)</f>
        <v>2827.4175</v>
      </c>
      <c r="D29" s="1">
        <f>(32-7.4)*($A$29+$B$29*(7.4+32))</f>
        <v>505.72040400000003</v>
      </c>
      <c r="F29" s="14">
        <v>13.92</v>
      </c>
      <c r="G29" s="14">
        <v>0.16120000000000001</v>
      </c>
      <c r="H29" s="219">
        <f>75*($F$29+$G$29*139)</f>
        <v>2724.5099999999998</v>
      </c>
      <c r="I29" s="219">
        <f>(32-7.4)*($F$29+$G$29*(7.4+32))</f>
        <v>498.67348800000008</v>
      </c>
    </row>
    <row r="30" spans="1:10" x14ac:dyDescent="0.25">
      <c r="A30" s="4" t="s">
        <v>6</v>
      </c>
      <c r="B30" s="4" t="s">
        <v>5</v>
      </c>
      <c r="C30" s="4" t="s">
        <v>7</v>
      </c>
      <c r="D30" s="2" t="s">
        <v>7</v>
      </c>
      <c r="F30" s="4" t="s">
        <v>6</v>
      </c>
      <c r="G30" s="4" t="s">
        <v>5</v>
      </c>
      <c r="H30" s="4" t="s">
        <v>7</v>
      </c>
      <c r="I30" s="2" t="s">
        <v>7</v>
      </c>
    </row>
    <row r="31" spans="1:10" x14ac:dyDescent="0.25">
      <c r="A31" s="4"/>
      <c r="B31" s="4"/>
      <c r="C31" s="9" t="s">
        <v>10</v>
      </c>
      <c r="D31" s="10" t="s">
        <v>11</v>
      </c>
      <c r="F31" s="4"/>
      <c r="G31" s="4"/>
      <c r="H31" s="9" t="s">
        <v>10</v>
      </c>
      <c r="I31" s="10" t="s">
        <v>11</v>
      </c>
    </row>
    <row r="32" spans="1:10" x14ac:dyDescent="0.25">
      <c r="A32" s="13">
        <v>7.1</v>
      </c>
      <c r="B32" s="13">
        <v>31</v>
      </c>
      <c r="C32" s="5" t="str">
        <f>IF(B32&gt;40,((B32-A32)*($A$29+$B$29*(B32+A32)))/$C$29,("smågris!"))</f>
        <v>smågris!</v>
      </c>
      <c r="D32" s="5">
        <f>IF(B32&lt;40,((B32-A32)*($A$29+$B$29*(B32+A32)))/$D$29,("slagtesvin!"))</f>
        <v>0.96097138884671129</v>
      </c>
      <c r="F32" s="13">
        <v>7.1</v>
      </c>
      <c r="G32" s="13">
        <v>31</v>
      </c>
      <c r="H32" s="5" t="str">
        <f>IF(G32&gt;40,((G32-F32)*($F$29+$G$29*(G32+F32)))/$H$29,("smågris!"))</f>
        <v>smågris!</v>
      </c>
      <c r="I32" s="55">
        <f>IF(G32&lt;40,((G32-F32)*($F$29+$G$29*(G32+F32)))/$I$29,("slagtesvin!"))</f>
        <v>0.96150110149830126</v>
      </c>
    </row>
    <row r="33" spans="1:9" x14ac:dyDescent="0.25">
      <c r="A33" s="13">
        <v>25</v>
      </c>
      <c r="B33" s="13">
        <v>110</v>
      </c>
      <c r="C33" s="5">
        <f t="shared" ref="C33:C35" si="2">IF(B33&gt;40,((B33-A33)*($A$29+$B$29*(B33+A33)))/$C$29,("smågris!"))</f>
        <v>1.1126381229514213</v>
      </c>
      <c r="D33" s="5" t="str">
        <f t="shared" ref="D33:D35" si="3">IF(B33&lt;40,((B33-A33)*($A$29+$B$29*(B33+A33)))/$D$29,("slagtesvin!"))</f>
        <v>slagtesvin!</v>
      </c>
      <c r="F33" s="13">
        <v>32</v>
      </c>
      <c r="G33" s="13">
        <v>107</v>
      </c>
      <c r="H33" s="5">
        <f t="shared" ref="H33:H35" si="4">IF(G33&gt;40,((G33-F33)*($F$29+$G$29*(G33+F33)))/$H$29,("smågris!"))</f>
        <v>1</v>
      </c>
      <c r="I33" s="5" t="str">
        <f t="shared" ref="I33:I35" si="5">IF(G33&lt;40,((G33-F33)*($F$29+$G$29*(G33+F33)))/$I$29,("slagtesvin!"))</f>
        <v>slagtesvin!</v>
      </c>
    </row>
    <row r="34" spans="1:9" x14ac:dyDescent="0.25">
      <c r="A34" s="13">
        <v>7.4</v>
      </c>
      <c r="B34" s="13">
        <v>32</v>
      </c>
      <c r="C34" s="5" t="str">
        <f t="shared" si="2"/>
        <v>smågris!</v>
      </c>
      <c r="D34" s="5">
        <f t="shared" si="3"/>
        <v>1</v>
      </c>
      <c r="F34" s="13">
        <v>7.4</v>
      </c>
      <c r="G34" s="13">
        <v>32</v>
      </c>
      <c r="H34" s="5" t="str">
        <f t="shared" si="4"/>
        <v>smågris!</v>
      </c>
      <c r="I34" s="5">
        <f t="shared" si="5"/>
        <v>1</v>
      </c>
    </row>
    <row r="35" spans="1:9" x14ac:dyDescent="0.25">
      <c r="A35" s="13">
        <v>31</v>
      </c>
      <c r="B35" s="13">
        <v>110</v>
      </c>
      <c r="C35" s="55">
        <f t="shared" si="2"/>
        <v>1.0629505193343396</v>
      </c>
      <c r="D35" s="5" t="str">
        <f t="shared" si="3"/>
        <v>slagtesvin!</v>
      </c>
      <c r="F35" s="13">
        <v>31</v>
      </c>
      <c r="G35" s="13">
        <v>110</v>
      </c>
      <c r="H35" s="55">
        <f t="shared" si="4"/>
        <v>1.0626816565180528</v>
      </c>
      <c r="I35" s="5" t="str">
        <f t="shared" si="5"/>
        <v>slagtesvin!</v>
      </c>
    </row>
    <row r="37" spans="1:9" x14ac:dyDescent="0.25">
      <c r="A37" s="4" t="s">
        <v>12</v>
      </c>
    </row>
    <row r="38" spans="1:9" x14ac:dyDescent="0.25">
      <c r="A38" t="s">
        <v>13</v>
      </c>
    </row>
    <row r="39" spans="1:9" x14ac:dyDescent="0.25">
      <c r="A39" t="s">
        <v>14</v>
      </c>
    </row>
    <row r="40" spans="1:9" x14ac:dyDescent="0.25">
      <c r="A40" t="s">
        <v>15</v>
      </c>
    </row>
    <row r="42" spans="1:9" x14ac:dyDescent="0.25">
      <c r="A42" t="s">
        <v>18</v>
      </c>
    </row>
    <row r="43" spans="1:9" x14ac:dyDescent="0.25">
      <c r="A43" t="s">
        <v>19</v>
      </c>
    </row>
    <row r="44" spans="1:9" x14ac:dyDescent="0.25">
      <c r="A44" t="s">
        <v>17</v>
      </c>
    </row>
  </sheetData>
  <sheetProtection password="DEC8" sheet="1" objects="1" scenario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4" workbookViewId="0">
      <selection activeCell="O24" sqref="O24"/>
    </sheetView>
  </sheetViews>
  <sheetFormatPr defaultRowHeight="15" x14ac:dyDescent="0.25"/>
  <cols>
    <col min="1" max="1" width="14.28515625" customWidth="1"/>
    <col min="5" max="5" width="10.5703125" customWidth="1"/>
    <col min="11" max="11" width="10.5703125" customWidth="1"/>
  </cols>
  <sheetData>
    <row r="1" spans="1:15" ht="18.75" x14ac:dyDescent="0.3">
      <c r="A1" s="187" t="s">
        <v>273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x14ac:dyDescent="0.25">
      <c r="A2" s="188" t="s">
        <v>274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x14ac:dyDescent="0.25">
      <c r="A3" s="34" t="s">
        <v>289</v>
      </c>
      <c r="B3" s="34"/>
      <c r="C3" s="189"/>
      <c r="D3" s="190"/>
      <c r="E3" s="190"/>
      <c r="F3" s="34"/>
      <c r="G3" s="34"/>
      <c r="H3" s="34"/>
      <c r="I3" s="34"/>
      <c r="J3" s="189"/>
      <c r="K3" s="189"/>
      <c r="L3" s="34"/>
      <c r="M3" s="34"/>
      <c r="N3" s="34"/>
    </row>
    <row r="4" spans="1:15" x14ac:dyDescent="0.25">
      <c r="A4" s="37"/>
      <c r="B4" s="37"/>
      <c r="C4" s="78" t="s">
        <v>256</v>
      </c>
      <c r="D4" s="78"/>
      <c r="E4" s="78"/>
      <c r="F4" s="171" t="s">
        <v>235</v>
      </c>
      <c r="G4" s="171"/>
      <c r="H4" s="171"/>
      <c r="I4" s="171"/>
      <c r="J4" s="193" t="s">
        <v>287</v>
      </c>
      <c r="K4" s="193"/>
      <c r="L4" s="193"/>
      <c r="M4" s="193"/>
      <c r="N4" s="193"/>
    </row>
    <row r="5" spans="1:15" x14ac:dyDescent="0.25">
      <c r="A5" s="37" t="s">
        <v>236</v>
      </c>
      <c r="B5" s="37"/>
      <c r="C5" s="78">
        <v>164.8</v>
      </c>
      <c r="D5" s="78"/>
      <c r="E5" s="78"/>
      <c r="F5" s="171">
        <v>157.6</v>
      </c>
      <c r="G5" s="171"/>
      <c r="H5" s="171"/>
      <c r="I5" s="171"/>
      <c r="J5" s="193">
        <v>142.80000000000001</v>
      </c>
      <c r="K5" s="193"/>
      <c r="L5" s="193"/>
      <c r="M5" s="193"/>
      <c r="N5" s="193"/>
    </row>
    <row r="6" spans="1:15" x14ac:dyDescent="0.25">
      <c r="A6" s="37" t="s">
        <v>237</v>
      </c>
      <c r="B6" s="37"/>
      <c r="C6" s="84">
        <v>0.84</v>
      </c>
      <c r="D6" s="84"/>
      <c r="E6" s="84"/>
      <c r="F6" s="172">
        <v>0.81</v>
      </c>
      <c r="G6" s="172"/>
      <c r="H6" s="172"/>
      <c r="I6" s="172"/>
      <c r="J6" s="194">
        <v>0.8</v>
      </c>
      <c r="K6" s="194"/>
      <c r="L6" s="193"/>
      <c r="M6" s="193"/>
      <c r="N6" s="193"/>
    </row>
    <row r="7" spans="1:15" x14ac:dyDescent="0.25">
      <c r="A7" s="37" t="s">
        <v>238</v>
      </c>
      <c r="B7" s="37"/>
      <c r="C7" s="78">
        <v>2.0299999999999998</v>
      </c>
      <c r="D7" s="78"/>
      <c r="E7" s="78"/>
      <c r="F7" s="171">
        <v>2.87</v>
      </c>
      <c r="G7" s="171"/>
      <c r="H7" s="173"/>
      <c r="I7" s="173"/>
      <c r="J7" s="193">
        <v>1442</v>
      </c>
      <c r="K7" s="195" t="s">
        <v>239</v>
      </c>
      <c r="L7" s="193"/>
      <c r="M7" s="193"/>
      <c r="N7" s="193"/>
    </row>
    <row r="8" spans="1:15" x14ac:dyDescent="0.25">
      <c r="A8" s="37" t="s">
        <v>240</v>
      </c>
      <c r="B8" s="37"/>
      <c r="C8" s="78">
        <v>30.4</v>
      </c>
      <c r="D8" s="78"/>
      <c r="E8" s="78"/>
      <c r="F8" s="171">
        <v>29.6</v>
      </c>
      <c r="G8" s="171"/>
      <c r="H8" s="173"/>
      <c r="I8" s="173"/>
      <c r="J8" s="193">
        <v>24.6</v>
      </c>
      <c r="K8" s="195" t="s">
        <v>275</v>
      </c>
      <c r="L8" s="193"/>
      <c r="M8" s="193"/>
      <c r="N8" s="193"/>
    </row>
    <row r="9" spans="1:15" x14ac:dyDescent="0.25">
      <c r="A9" s="37" t="s">
        <v>241</v>
      </c>
      <c r="B9" s="37"/>
      <c r="C9" s="174">
        <f>(C5*C7)/6.25-C8</f>
        <v>23.127040000000001</v>
      </c>
      <c r="D9" s="174"/>
      <c r="E9" s="174"/>
      <c r="F9" s="175">
        <f>(F5*F7)/6.25-F8</f>
        <v>42.769920000000006</v>
      </c>
      <c r="G9" s="175"/>
      <c r="H9" s="176"/>
      <c r="I9" s="176"/>
      <c r="J9" s="196">
        <v>7.2</v>
      </c>
      <c r="K9" s="197" t="s">
        <v>242</v>
      </c>
      <c r="L9" s="193"/>
      <c r="M9" s="193"/>
      <c r="N9" s="193"/>
    </row>
    <row r="10" spans="1:15" x14ac:dyDescent="0.25">
      <c r="A10" s="37"/>
      <c r="B10" s="37"/>
      <c r="C10" s="174"/>
      <c r="D10" s="174"/>
      <c r="E10" s="174"/>
      <c r="F10" s="175"/>
      <c r="G10" s="175"/>
      <c r="H10" s="176"/>
      <c r="I10" s="176"/>
      <c r="J10" s="196">
        <f>(J5*J7/6250)-1.98-(J8*J9*0.0257)</f>
        <v>26.414831999999997</v>
      </c>
      <c r="K10" s="197" t="s">
        <v>243</v>
      </c>
      <c r="L10" s="193"/>
      <c r="M10" s="193"/>
      <c r="N10" s="193"/>
    </row>
    <row r="11" spans="1:15" x14ac:dyDescent="0.25">
      <c r="A11" s="37" t="s">
        <v>244</v>
      </c>
      <c r="B11" s="37"/>
      <c r="C11" s="174">
        <f>C5*(1-C6)/6.25*C7</f>
        <v>8.5643264000000023</v>
      </c>
      <c r="D11" s="174"/>
      <c r="E11" s="174"/>
      <c r="F11" s="175">
        <f>F5*(1-F6)/6.25*F7</f>
        <v>13.750284799999998</v>
      </c>
      <c r="G11" s="175"/>
      <c r="H11" s="175"/>
      <c r="I11" s="175"/>
      <c r="J11" s="196">
        <f>(J7*J5/6250*(1-J6))</f>
        <v>6.5893631999999984</v>
      </c>
      <c r="K11" s="196"/>
      <c r="L11" s="198"/>
      <c r="M11" s="193"/>
      <c r="N11" s="193"/>
    </row>
    <row r="12" spans="1:15" x14ac:dyDescent="0.25">
      <c r="A12" s="37" t="s">
        <v>245</v>
      </c>
      <c r="B12" s="37"/>
      <c r="C12" s="174">
        <f>C9-C11</f>
        <v>14.562713599999999</v>
      </c>
      <c r="D12" s="174"/>
      <c r="E12" s="174"/>
      <c r="F12" s="175">
        <f>F9-F11</f>
        <v>29.01963520000001</v>
      </c>
      <c r="G12" s="175"/>
      <c r="H12" s="175"/>
      <c r="I12" s="175"/>
      <c r="J12" s="196">
        <f>J10-J11</f>
        <v>19.825468799999999</v>
      </c>
      <c r="K12" s="196"/>
      <c r="L12" s="193"/>
      <c r="M12" s="193"/>
      <c r="N12" s="193"/>
    </row>
    <row r="13" spans="1:15" x14ac:dyDescent="0.25">
      <c r="A13" s="37" t="s">
        <v>288</v>
      </c>
      <c r="B13" s="37"/>
      <c r="C13" s="177">
        <f>C12/C9*100</f>
        <v>62.968341819791881</v>
      </c>
      <c r="D13" s="177"/>
      <c r="E13" s="177"/>
      <c r="F13" s="178">
        <f>F12/F9*100</f>
        <v>67.850571616687631</v>
      </c>
      <c r="G13" s="178"/>
      <c r="H13" s="178"/>
      <c r="I13" s="178"/>
      <c r="J13" s="199">
        <f>J12/J10*100</f>
        <v>75.054305853620434</v>
      </c>
      <c r="K13" s="199"/>
      <c r="L13" s="193"/>
      <c r="M13" s="193"/>
      <c r="N13" s="193"/>
    </row>
    <row r="14" spans="1:15" x14ac:dyDescent="0.25">
      <c r="A14" s="37"/>
      <c r="B14" s="37"/>
      <c r="C14" s="78"/>
      <c r="D14" s="84"/>
      <c r="E14" s="84"/>
      <c r="F14" s="171"/>
      <c r="G14" s="172"/>
      <c r="H14" s="172"/>
      <c r="I14" s="172"/>
      <c r="J14" s="200"/>
      <c r="K14" s="200"/>
      <c r="L14" s="206" t="s">
        <v>246</v>
      </c>
      <c r="M14" s="207"/>
      <c r="N14" s="207"/>
    </row>
    <row r="15" spans="1:15" x14ac:dyDescent="0.25">
      <c r="A15" s="37"/>
      <c r="B15" s="37"/>
      <c r="C15" s="170" t="s">
        <v>247</v>
      </c>
      <c r="D15" s="78" t="s">
        <v>248</v>
      </c>
      <c r="E15" s="78" t="s">
        <v>249</v>
      </c>
      <c r="F15" s="171" t="s">
        <v>250</v>
      </c>
      <c r="G15" s="171"/>
      <c r="H15" s="171"/>
      <c r="I15" s="171"/>
      <c r="J15" s="96" t="s">
        <v>251</v>
      </c>
      <c r="K15" s="96"/>
      <c r="L15" s="206" t="s">
        <v>252</v>
      </c>
      <c r="M15" s="206" t="s">
        <v>253</v>
      </c>
      <c r="N15" s="206" t="s">
        <v>254</v>
      </c>
    </row>
    <row r="16" spans="1:15" x14ac:dyDescent="0.25">
      <c r="A16" s="36" t="s">
        <v>255</v>
      </c>
      <c r="B16" s="37"/>
      <c r="C16" s="78" t="s">
        <v>11</v>
      </c>
      <c r="D16" s="78" t="s">
        <v>256</v>
      </c>
      <c r="E16" s="78" t="s">
        <v>11</v>
      </c>
      <c r="F16" s="171" t="s">
        <v>257</v>
      </c>
      <c r="G16" s="171" t="s">
        <v>258</v>
      </c>
      <c r="H16" s="171" t="s">
        <v>248</v>
      </c>
      <c r="I16" s="179" t="s">
        <v>249</v>
      </c>
      <c r="J16" s="201" t="s">
        <v>259</v>
      </c>
      <c r="K16" s="201" t="s">
        <v>260</v>
      </c>
      <c r="L16" s="206" t="s">
        <v>261</v>
      </c>
      <c r="M16" s="206" t="s">
        <v>249</v>
      </c>
      <c r="N16" s="206" t="s">
        <v>262</v>
      </c>
      <c r="O16" s="216"/>
    </row>
    <row r="17" spans="1:14" x14ac:dyDescent="0.25">
      <c r="A17" s="36" t="str">
        <f>A5</f>
        <v>Råprotein pr FEsv</v>
      </c>
      <c r="B17" s="36"/>
      <c r="C17" s="77">
        <f>$C$5</f>
        <v>164.8</v>
      </c>
      <c r="D17" s="77">
        <f>$C$17</f>
        <v>164.8</v>
      </c>
      <c r="E17" s="77">
        <f>$C$17</f>
        <v>164.8</v>
      </c>
      <c r="F17" s="180">
        <f>$F$5</f>
        <v>157.6</v>
      </c>
      <c r="G17" s="180">
        <f>$F$5</f>
        <v>157.6</v>
      </c>
      <c r="H17" s="180">
        <f>$F$5</f>
        <v>157.6</v>
      </c>
      <c r="I17" s="180">
        <f>$F$5</f>
        <v>157.6</v>
      </c>
      <c r="J17" s="95">
        <f>$J$5</f>
        <v>142.80000000000001</v>
      </c>
      <c r="K17" s="95">
        <f>$J$5</f>
        <v>142.80000000000001</v>
      </c>
      <c r="L17" s="208">
        <f>$J$17</f>
        <v>142.80000000000001</v>
      </c>
      <c r="M17" s="208">
        <f>$J$17</f>
        <v>142.80000000000001</v>
      </c>
      <c r="N17" s="208">
        <f>$J$17</f>
        <v>142.80000000000001</v>
      </c>
    </row>
    <row r="18" spans="1:14" x14ac:dyDescent="0.25">
      <c r="A18" s="37" t="s">
        <v>263</v>
      </c>
      <c r="B18" s="37"/>
      <c r="C18" s="78">
        <v>10</v>
      </c>
      <c r="D18" s="181">
        <v>21</v>
      </c>
      <c r="E18" s="181">
        <v>24</v>
      </c>
      <c r="F18" s="171">
        <v>13</v>
      </c>
      <c r="G18" s="182">
        <v>17</v>
      </c>
      <c r="H18" s="171">
        <v>21</v>
      </c>
      <c r="I18" s="171">
        <v>24</v>
      </c>
      <c r="J18" s="96">
        <v>13</v>
      </c>
      <c r="K18" s="202">
        <v>26</v>
      </c>
      <c r="L18" s="207">
        <v>13</v>
      </c>
      <c r="M18" s="209">
        <v>19</v>
      </c>
      <c r="N18" s="207">
        <v>16</v>
      </c>
    </row>
    <row r="19" spans="1:14" x14ac:dyDescent="0.25">
      <c r="A19" s="186" t="s">
        <v>285</v>
      </c>
      <c r="B19" s="37"/>
      <c r="C19" s="78">
        <v>2.5</v>
      </c>
      <c r="D19" s="78">
        <v>2.5</v>
      </c>
      <c r="E19" s="78">
        <v>2.5</v>
      </c>
      <c r="F19" s="171">
        <v>2.5</v>
      </c>
      <c r="G19" s="171">
        <v>2.5</v>
      </c>
      <c r="H19" s="171">
        <v>2.5</v>
      </c>
      <c r="I19" s="171">
        <v>2.5</v>
      </c>
      <c r="J19" s="96">
        <v>2.5</v>
      </c>
      <c r="K19" s="96">
        <v>2.5</v>
      </c>
      <c r="L19" s="207">
        <v>2.5</v>
      </c>
      <c r="M19" s="207">
        <v>2.5</v>
      </c>
      <c r="N19" s="207">
        <v>2.5</v>
      </c>
    </row>
    <row r="20" spans="1:14" x14ac:dyDescent="0.25">
      <c r="A20" s="37" t="s">
        <v>264</v>
      </c>
      <c r="B20" s="37"/>
      <c r="C20" s="78">
        <f>'[1]Forudsætninger, foder mm'!A15</f>
        <v>7.2</v>
      </c>
      <c r="D20" s="78">
        <f>$C$20</f>
        <v>7.2</v>
      </c>
      <c r="E20" s="78">
        <f>$C$20</f>
        <v>7.2</v>
      </c>
      <c r="F20" s="171">
        <f>'[1]Forudsætninger, foder mm'!A9</f>
        <v>30</v>
      </c>
      <c r="G20" s="171">
        <f t="shared" ref="G20:I23" si="0">F20</f>
        <v>30</v>
      </c>
      <c r="H20" s="171">
        <f t="shared" si="0"/>
        <v>30</v>
      </c>
      <c r="I20" s="171">
        <f t="shared" si="0"/>
        <v>30</v>
      </c>
      <c r="J20" s="96"/>
      <c r="K20" s="96"/>
      <c r="L20" s="207"/>
      <c r="M20" s="207"/>
      <c r="N20" s="207"/>
    </row>
    <row r="21" spans="1:14" x14ac:dyDescent="0.25">
      <c r="A21" s="37" t="s">
        <v>265</v>
      </c>
      <c r="B21" s="37"/>
      <c r="C21" s="191">
        <f>'[1]Forudsætninger, foder mm'!B15</f>
        <v>30</v>
      </c>
      <c r="D21" s="191">
        <f>$C$21</f>
        <v>30</v>
      </c>
      <c r="E21" s="191">
        <f>$C$21</f>
        <v>30</v>
      </c>
      <c r="F21" s="192">
        <f>'[1]Forudsætninger, foder mm'!B9</f>
        <v>102</v>
      </c>
      <c r="G21" s="192">
        <f t="shared" si="0"/>
        <v>102</v>
      </c>
      <c r="H21" s="192">
        <f t="shared" si="0"/>
        <v>102</v>
      </c>
      <c r="I21" s="192">
        <f t="shared" si="0"/>
        <v>102</v>
      </c>
      <c r="J21" s="96"/>
      <c r="K21" s="96"/>
      <c r="L21" s="207"/>
      <c r="M21" s="207"/>
      <c r="N21" s="207"/>
    </row>
    <row r="22" spans="1:14" x14ac:dyDescent="0.25">
      <c r="A22" s="37" t="s">
        <v>266</v>
      </c>
      <c r="B22" s="37"/>
      <c r="C22" s="84">
        <f>(C21-C20)*C9/1000</f>
        <v>0.52729651200000005</v>
      </c>
      <c r="D22" s="84">
        <f>$C$22</f>
        <v>0.52729651200000005</v>
      </c>
      <c r="E22" s="84">
        <f>$C$22</f>
        <v>0.52729651200000005</v>
      </c>
      <c r="F22" s="172">
        <f>(F21-F20)*F9/1000</f>
        <v>3.0794342400000003</v>
      </c>
      <c r="G22" s="172">
        <f t="shared" si="0"/>
        <v>3.0794342400000003</v>
      </c>
      <c r="H22" s="172">
        <f t="shared" si="0"/>
        <v>3.0794342400000003</v>
      </c>
      <c r="I22" s="172">
        <f t="shared" si="0"/>
        <v>3.0794342400000003</v>
      </c>
      <c r="J22" s="200">
        <f>$J$10*0.3</f>
        <v>7.9244495999999991</v>
      </c>
      <c r="K22" s="200">
        <f>$J$10*0.3</f>
        <v>7.9244495999999991</v>
      </c>
      <c r="L22" s="210">
        <f>$J$10*0.7</f>
        <v>18.490382399999998</v>
      </c>
      <c r="M22" s="210">
        <f>$J$10*0.7</f>
        <v>18.490382399999998</v>
      </c>
      <c r="N22" s="210">
        <f>$J$10*0.7</f>
        <v>18.490382399999998</v>
      </c>
    </row>
    <row r="23" spans="1:14" x14ac:dyDescent="0.25">
      <c r="A23" s="37" t="s">
        <v>267</v>
      </c>
      <c r="B23" s="37"/>
      <c r="C23" s="169">
        <f>$C$13</f>
        <v>62.968341819791881</v>
      </c>
      <c r="D23" s="169">
        <f>C23</f>
        <v>62.968341819791881</v>
      </c>
      <c r="E23" s="169">
        <f>D23</f>
        <v>62.968341819791881</v>
      </c>
      <c r="F23" s="183">
        <f>F13</f>
        <v>67.850571616687631</v>
      </c>
      <c r="G23" s="183">
        <f t="shared" si="0"/>
        <v>67.850571616687631</v>
      </c>
      <c r="H23" s="183">
        <f t="shared" si="0"/>
        <v>67.850571616687631</v>
      </c>
      <c r="I23" s="183">
        <f t="shared" si="0"/>
        <v>67.850571616687631</v>
      </c>
      <c r="J23" s="203">
        <f>$J$13</f>
        <v>75.054305853620434</v>
      </c>
      <c r="K23" s="203">
        <f>$J$13</f>
        <v>75.054305853620434</v>
      </c>
      <c r="L23" s="211">
        <f>$J$13</f>
        <v>75.054305853620434</v>
      </c>
      <c r="M23" s="211">
        <f>$J$13</f>
        <v>75.054305853620434</v>
      </c>
      <c r="N23" s="211">
        <f>$J$13</f>
        <v>75.054305853620434</v>
      </c>
    </row>
    <row r="24" spans="1:14" x14ac:dyDescent="0.25">
      <c r="A24" s="37" t="s">
        <v>268</v>
      </c>
      <c r="B24" s="37"/>
      <c r="C24" s="84">
        <f>C22*C23/100</f>
        <v>0.33202987007999996</v>
      </c>
      <c r="D24" s="84">
        <f t="shared" ref="D24:N24" si="1">D22*D23/100</f>
        <v>0.33202987007999996</v>
      </c>
      <c r="E24" s="84">
        <f>E22*E23/100</f>
        <v>0.33202987007999996</v>
      </c>
      <c r="F24" s="172">
        <f t="shared" si="1"/>
        <v>2.0894137344000008</v>
      </c>
      <c r="G24" s="172">
        <f t="shared" si="1"/>
        <v>2.0894137344000008</v>
      </c>
      <c r="H24" s="172">
        <f t="shared" si="1"/>
        <v>2.0894137344000008</v>
      </c>
      <c r="I24" s="172">
        <f t="shared" si="1"/>
        <v>2.0894137344000008</v>
      </c>
      <c r="J24" s="200">
        <f t="shared" si="1"/>
        <v>5.9476406400000004</v>
      </c>
      <c r="K24" s="200">
        <f t="shared" si="1"/>
        <v>5.9476406400000004</v>
      </c>
      <c r="L24" s="210">
        <f t="shared" si="1"/>
        <v>13.877828160000002</v>
      </c>
      <c r="M24" s="210">
        <f t="shared" si="1"/>
        <v>13.877828160000002</v>
      </c>
      <c r="N24" s="210">
        <f t="shared" si="1"/>
        <v>13.877828160000002</v>
      </c>
    </row>
    <row r="25" spans="1:14" x14ac:dyDescent="0.25">
      <c r="A25" s="37" t="s">
        <v>269</v>
      </c>
      <c r="B25" s="37"/>
      <c r="C25" s="84">
        <f t="shared" ref="C25:N25" si="2">C24*C18/100</f>
        <v>3.3202987007999993E-2</v>
      </c>
      <c r="D25" s="84">
        <f t="shared" si="2"/>
        <v>6.9726272716799986E-2</v>
      </c>
      <c r="E25" s="84">
        <f t="shared" si="2"/>
        <v>7.9687168819199988E-2</v>
      </c>
      <c r="F25" s="172">
        <f t="shared" si="2"/>
        <v>0.27162378547200011</v>
      </c>
      <c r="G25" s="172">
        <f t="shared" si="2"/>
        <v>0.35520033484800012</v>
      </c>
      <c r="H25" s="172">
        <f t="shared" si="2"/>
        <v>0.43877688422400013</v>
      </c>
      <c r="I25" s="172">
        <f t="shared" si="2"/>
        <v>0.50145929625600016</v>
      </c>
      <c r="J25" s="200">
        <f t="shared" si="2"/>
        <v>0.77319328320000014</v>
      </c>
      <c r="K25" s="200">
        <f t="shared" si="2"/>
        <v>1.5463865664000003</v>
      </c>
      <c r="L25" s="210">
        <f t="shared" si="2"/>
        <v>1.8041176608000002</v>
      </c>
      <c r="M25" s="210">
        <f t="shared" si="2"/>
        <v>2.6367873504000006</v>
      </c>
      <c r="N25" s="210">
        <f t="shared" si="2"/>
        <v>2.2204525056000004</v>
      </c>
    </row>
    <row r="26" spans="1:14" x14ac:dyDescent="0.25">
      <c r="A26" s="37" t="s">
        <v>270</v>
      </c>
      <c r="B26" s="37"/>
      <c r="C26" s="84">
        <f>C24-C25</f>
        <v>0.29882688307199995</v>
      </c>
      <c r="D26" s="84">
        <f t="shared" ref="D26:N26" si="3">D24-D25</f>
        <v>0.26230359736319997</v>
      </c>
      <c r="E26" s="84">
        <f>E24-E25</f>
        <v>0.25234270126079994</v>
      </c>
      <c r="F26" s="172">
        <f t="shared" si="3"/>
        <v>1.8177899489280007</v>
      </c>
      <c r="G26" s="172">
        <f t="shared" si="3"/>
        <v>1.7342133995520006</v>
      </c>
      <c r="H26" s="172">
        <f>H24-H25</f>
        <v>1.6506368501760007</v>
      </c>
      <c r="I26" s="172">
        <f>I24-I25</f>
        <v>1.5879544381440005</v>
      </c>
      <c r="J26" s="200">
        <f t="shared" si="3"/>
        <v>5.1744473568</v>
      </c>
      <c r="K26" s="200">
        <f t="shared" si="3"/>
        <v>4.4012540736000005</v>
      </c>
      <c r="L26" s="210">
        <f t="shared" si="3"/>
        <v>12.073710499200001</v>
      </c>
      <c r="M26" s="210">
        <f t="shared" si="3"/>
        <v>11.241040809600001</v>
      </c>
      <c r="N26" s="210">
        <f t="shared" si="3"/>
        <v>11.657375654400001</v>
      </c>
    </row>
    <row r="27" spans="1:14" x14ac:dyDescent="0.25">
      <c r="A27" s="37" t="s">
        <v>271</v>
      </c>
      <c r="B27" s="37"/>
      <c r="C27" s="84">
        <f>C26*C19/100</f>
        <v>7.4706720767999989E-3</v>
      </c>
      <c r="D27" s="84">
        <f t="shared" ref="D27:N27" si="4">D26*D19/100</f>
        <v>6.5575899340799991E-3</v>
      </c>
      <c r="E27" s="84">
        <f>E26*E19/100</f>
        <v>6.3085675315199983E-3</v>
      </c>
      <c r="F27" s="172">
        <f t="shared" si="4"/>
        <v>4.5444748723200021E-2</v>
      </c>
      <c r="G27" s="172">
        <f t="shared" si="4"/>
        <v>4.3355334988800009E-2</v>
      </c>
      <c r="H27" s="172">
        <f>H26*H19/100</f>
        <v>4.1265921254400019E-2</v>
      </c>
      <c r="I27" s="172">
        <f>I26*I19/100</f>
        <v>3.9698860953600014E-2</v>
      </c>
      <c r="J27" s="200">
        <f t="shared" si="4"/>
        <v>0.12936118392000001</v>
      </c>
      <c r="K27" s="200">
        <f t="shared" si="4"/>
        <v>0.11003135184000001</v>
      </c>
      <c r="L27" s="210">
        <f t="shared" si="4"/>
        <v>0.30184276248000003</v>
      </c>
      <c r="M27" s="210">
        <f t="shared" si="4"/>
        <v>0.28102602024000001</v>
      </c>
      <c r="N27" s="210">
        <f t="shared" si="4"/>
        <v>0.29143439135999999</v>
      </c>
    </row>
    <row r="28" spans="1:14" ht="15.75" x14ac:dyDescent="0.25">
      <c r="A28" s="37" t="s">
        <v>272</v>
      </c>
      <c r="B28" s="37"/>
      <c r="C28" s="213">
        <f>C25+C27</f>
        <v>4.0673659084799994E-2</v>
      </c>
      <c r="D28" s="184">
        <f t="shared" ref="D28:N28" si="5">D25+D27</f>
        <v>7.6283862650879983E-2</v>
      </c>
      <c r="E28" s="184">
        <f>E25+E27</f>
        <v>8.5995736350719984E-2</v>
      </c>
      <c r="F28" s="185">
        <f t="shared" si="5"/>
        <v>0.31706853419520015</v>
      </c>
      <c r="G28" s="214">
        <f t="shared" si="5"/>
        <v>0.39855566983680013</v>
      </c>
      <c r="H28" s="185">
        <f>H25+H27</f>
        <v>0.48004280547840017</v>
      </c>
      <c r="I28" s="185">
        <f>I25+I27</f>
        <v>0.54115815720960014</v>
      </c>
      <c r="J28" s="204">
        <f>J25+J27</f>
        <v>0.90255446712000009</v>
      </c>
      <c r="K28" s="205">
        <f t="shared" si="5"/>
        <v>1.6564179182400003</v>
      </c>
      <c r="L28" s="212">
        <f t="shared" si="5"/>
        <v>2.1059604232800004</v>
      </c>
      <c r="M28" s="212">
        <f t="shared" si="5"/>
        <v>2.9178133706400007</v>
      </c>
      <c r="N28" s="215">
        <f t="shared" si="5"/>
        <v>2.5118868969600006</v>
      </c>
    </row>
    <row r="29" spans="1:14" x14ac:dyDescent="0.25">
      <c r="A29" s="27" t="s">
        <v>277</v>
      </c>
      <c r="B29" s="27"/>
      <c r="C29" s="76">
        <v>3.3000000000000002E-2</v>
      </c>
      <c r="D29" s="27" t="s">
        <v>278</v>
      </c>
      <c r="E29" s="27"/>
      <c r="F29" s="27"/>
      <c r="G29" s="76">
        <v>0.28000000000000003</v>
      </c>
      <c r="H29" s="27" t="s">
        <v>279</v>
      </c>
      <c r="I29" s="27"/>
      <c r="J29" s="27" t="s">
        <v>286</v>
      </c>
      <c r="K29" s="27"/>
      <c r="L29" s="27"/>
      <c r="M29" s="27"/>
      <c r="N29" s="27"/>
    </row>
    <row r="30" spans="1:14" x14ac:dyDescent="0.25">
      <c r="A30" s="27" t="s">
        <v>276</v>
      </c>
      <c r="B30" s="27"/>
      <c r="C30" s="27"/>
      <c r="D30" s="27"/>
      <c r="E30" s="27"/>
      <c r="F30" s="27"/>
      <c r="G30" s="27"/>
      <c r="H30" s="27"/>
      <c r="I30" s="27"/>
      <c r="J30" s="27" t="s">
        <v>280</v>
      </c>
      <c r="K30" s="27"/>
      <c r="L30" s="27"/>
      <c r="M30" s="27"/>
      <c r="N30" s="27"/>
    </row>
    <row r="32" spans="1:14" x14ac:dyDescent="0.25">
      <c r="A32" s="218" t="s">
        <v>290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</row>
    <row r="33" spans="1:11" ht="17.25" customHeight="1" x14ac:dyDescent="0.25">
      <c r="A33" s="220" t="s">
        <v>292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  <row r="34" spans="1:11" ht="18" customHeight="1" x14ac:dyDescent="0.25">
      <c r="A34" s="220" t="s">
        <v>291</v>
      </c>
      <c r="B34" s="220"/>
      <c r="C34" s="220"/>
      <c r="D34" s="220"/>
      <c r="E34" s="220"/>
      <c r="F34" s="220"/>
      <c r="G34" s="220"/>
      <c r="H34" s="220"/>
      <c r="I34" s="220"/>
      <c r="J34" s="217"/>
      <c r="K34" s="217"/>
    </row>
  </sheetData>
  <sheetProtection password="DEC8" sheet="1" objects="1" scenarios="1"/>
  <mergeCells count="2">
    <mergeCell ref="A33:K33"/>
    <mergeCell ref="A34:I3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9AECF0C0DF042669F1227F4A133879E0100C463F228579D7B40BC7AC9090504053D" ma:contentTypeVersion="13" ma:contentTypeDescription="" ma:contentTypeScope="" ma:versionID="b28b4b05e83f3f5f7da0152b2707eb85">
  <xsd:schema xmlns:xsd="http://www.w3.org/2001/XMLSchema" xmlns:xs="http://www.w3.org/2001/XMLSchema" xmlns:p="http://schemas.microsoft.com/office/2006/metadata/properties" xmlns:ns3="f01e8204-c9c5-4b3a-ae89-76efb91ee6dd" xmlns:ns4="95205d42-89eb-43c3-ae46-3fd3b7e1c958" targetNamespace="http://schemas.microsoft.com/office/2006/metadata/properties" ma:root="true" ma:fieldsID="ffd25006c83cc57c7974b3e42c059600" ns3:_="" ns4:_="">
    <xsd:import namespace="f01e8204-c9c5-4b3a-ae89-76efb91ee6dd"/>
    <xsd:import namespace="95205d42-89eb-43c3-ae46-3fd3b7e1c958"/>
    <xsd:element name="properties">
      <xsd:complexType>
        <xsd:sequence>
          <xsd:element name="documentManagement">
            <xsd:complexType>
              <xsd:all>
                <xsd:element ref="ns3:DocuWise.Ended" minOccurs="0"/>
                <xsd:element ref="ns3:DocuWise.Received" minOccurs="0"/>
                <xsd:element ref="ns3:DocuWise.Company" minOccurs="0"/>
                <xsd:element ref="ns3:DocuWise.CompanyText" minOccurs="0"/>
                <xsd:element ref="ns3:DocuWise.Type" minOccurs="0"/>
                <xsd:element ref="ns3:DocuWise.Person" minOccurs="0"/>
                <xsd:element ref="ns3:DocuWise.PersonText" minOccurs="0"/>
                <xsd:element ref="ns3:DocuWise.Project" minOccurs="0"/>
                <xsd:element ref="ns3:DocuWise.JobDescription" minOccurs="0"/>
                <xsd:element ref="ns3:DocuWise.Language" minOccurs="0"/>
                <xsd:element ref="ns3:DocuWise.CHRNumber" minOccurs="0"/>
                <xsd:element ref="ns3:DocuWise.TestNumber" minOccurs="0"/>
                <xsd:element ref="ns3:Docuwise.Number" minOccurs="0"/>
                <xsd:element ref="ns3:DocuWise.CaseWorker" minOccurs="0"/>
                <xsd:element ref="ns3:DocuWise.Legacy.CreatedByName" minOccurs="0"/>
                <xsd:element ref="ns3:DocuWise.Legacy.CreatedByEmail" minOccurs="0"/>
                <xsd:element ref="ns3:DocuWise.Legacy.CaseWorkerName" minOccurs="0"/>
                <xsd:element ref="ns3:DocuWise.Legacy.CaseWorkerEmail" minOccurs="0"/>
                <xsd:element ref="ns3:DocuWise.Legacy.Department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e8204-c9c5-4b3a-ae89-76efb91ee6dd" elementFormDefault="qualified">
    <xsd:import namespace="http://schemas.microsoft.com/office/2006/documentManagement/types"/>
    <xsd:import namespace="http://schemas.microsoft.com/office/infopath/2007/PartnerControls"/>
    <xsd:element name="DocuWise.Ended" ma:index="9" nillable="true" ma:displayName="Afsluttet" ma:default="0" ma:internalName="Docuwise_x002e_Ended">
      <xsd:simpleType>
        <xsd:restriction base="dms:Boolean"/>
      </xsd:simpleType>
    </xsd:element>
    <xsd:element name="DocuWise.Received" ma:index="10" nillable="true" ma:displayName="Modtaget" ma:default="0" ma:internalName="Docuwise_x002e_Received">
      <xsd:simpleType>
        <xsd:restriction base="dms:Boolean"/>
      </xsd:simpleType>
    </xsd:element>
    <xsd:element name="DocuWise.Company" ma:index="11" nillable="true" ma:displayName="Firma" ma:internalName="Docuwise_x002e_Company">
      <xsd:simpleType>
        <xsd:restriction base="dms:Text">
          <xsd:maxLength value="255"/>
        </xsd:restriction>
      </xsd:simpleType>
    </xsd:element>
    <xsd:element name="DocuWise.CompanyText" ma:index="12" nillable="true" ma:displayName="Firma tekst" ma:internalName="Docuwise_x002e_CompanyText">
      <xsd:simpleType>
        <xsd:restriction base="dms:Text">
          <xsd:maxLength value="255"/>
        </xsd:restriction>
      </xsd:simpleType>
    </xsd:element>
    <xsd:element name="DocuWise.Type" ma:index="13" nillable="true" ma:displayName="Type" ma:internalName="Docuwise_x002e_Type">
      <xsd:simpleType>
        <xsd:restriction base="dms:Text">
          <xsd:maxLength value="255"/>
        </xsd:restriction>
      </xsd:simpleType>
    </xsd:element>
    <xsd:element name="DocuWise.Person" ma:index="14" nillable="true" ma:displayName="Person" ma:internalName="Docuwise_x002e_Person">
      <xsd:simpleType>
        <xsd:restriction base="dms:Text">
          <xsd:maxLength value="255"/>
        </xsd:restriction>
      </xsd:simpleType>
    </xsd:element>
    <xsd:element name="DocuWise.PersonText" ma:index="15" nillable="true" ma:displayName="Person tekst" ma:internalName="Docuwise_x002e_PersonText">
      <xsd:simpleType>
        <xsd:restriction base="dms:Text">
          <xsd:maxLength value="255"/>
        </xsd:restriction>
      </xsd:simpleType>
    </xsd:element>
    <xsd:element name="DocuWise.Project" ma:index="16" nillable="true" ma:displayName="Projekt" ma:internalName="DocuWise_x002e_Project">
      <xsd:simpleType>
        <xsd:restriction base="dms:Text">
          <xsd:maxLength value="255"/>
        </xsd:restriction>
      </xsd:simpleType>
    </xsd:element>
    <xsd:element name="DocuWise.JobDescription" ma:index="17" nillable="true" ma:displayName="Job beskrivelse" ma:internalName="DocuWise_x002e_JobDescription">
      <xsd:simpleType>
        <xsd:restriction base="dms:Text">
          <xsd:maxLength value="255"/>
        </xsd:restriction>
      </xsd:simpleType>
    </xsd:element>
    <xsd:element name="DocuWise.Language" ma:index="18" nillable="true" ma:displayName="Sprog" ma:internalName="DocuWise_x002e_Language">
      <xsd:simpleType>
        <xsd:restriction base="dms:Text">
          <xsd:maxLength value="255"/>
        </xsd:restriction>
      </xsd:simpleType>
    </xsd:element>
    <xsd:element name="DocuWise.CHRNumber" ma:index="19" nillable="true" ma:displayName="CHR nummer" ma:internalName="DocuWise_x002e_CHRNumber">
      <xsd:simpleType>
        <xsd:restriction base="dms:Text">
          <xsd:maxLength value="255"/>
        </xsd:restriction>
      </xsd:simpleType>
    </xsd:element>
    <xsd:element name="DocuWise.TestNumber" ma:index="20" nillable="true" ma:displayName="Afprøvningsnummer" ma:internalName="DocuWise_x002e_TestNumber">
      <xsd:simpleType>
        <xsd:restriction base="dms:Text">
          <xsd:maxLength value="255"/>
        </xsd:restriction>
      </xsd:simpleType>
    </xsd:element>
    <xsd:element name="Docuwise.Number" ma:index="21" nillable="true" ma:displayName="Number" ma:decimals="0" ma:internalName="DocuWise_x002e_Number" ma:readOnly="false" ma:percentage="FALSE">
      <xsd:simpleType>
        <xsd:restriction base="dms:Number"/>
      </xsd:simpleType>
    </xsd:element>
    <xsd:element name="DocuWise.CaseWorker" ma:index="22" nillable="true" ma:displayName="Sagsbehandler" ma:list="UserInfo" ma:internalName="DocuWise_x002e_CaseWorker" ma:showField="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Wise.Legacy.CreatedByName" ma:index="23" nillable="true" ma:displayName="DW Oprettet af navn" ma:internalName="Docuwise_x002e_Legacy_x002e_CreatedByName">
      <xsd:simpleType>
        <xsd:restriction base="dms:Text">
          <xsd:maxLength value="255"/>
        </xsd:restriction>
      </xsd:simpleType>
    </xsd:element>
    <xsd:element name="DocuWise.Legacy.CreatedByEmail" ma:index="24" nillable="true" ma:displayName="DW Oprettet af emailadresse" ma:internalName="Docuwise_x002e_Legacy_x002e_CreatedByEmail">
      <xsd:simpleType>
        <xsd:restriction base="dms:Text">
          <xsd:maxLength value="255"/>
        </xsd:restriction>
      </xsd:simpleType>
    </xsd:element>
    <xsd:element name="DocuWise.Legacy.CaseWorkerName" ma:index="25" nillable="true" ma:displayName="DW Sagsbehandler navn" ma:internalName="Docuwise_x002e_Legacy_x002e_CaseWorkerName">
      <xsd:simpleType>
        <xsd:restriction base="dms:Text">
          <xsd:maxLength value="255"/>
        </xsd:restriction>
      </xsd:simpleType>
    </xsd:element>
    <xsd:element name="DocuWise.Legacy.CaseWorkerEmail" ma:index="26" nillable="true" ma:displayName="DW Sagsbehandler emailadresse" ma:internalName="Docuwise_x002e_Legacy_x002e_CaseWorkerEmail">
      <xsd:simpleType>
        <xsd:restriction base="dms:Text">
          <xsd:maxLength value="255"/>
        </xsd:restriction>
      </xsd:simpleType>
    </xsd:element>
    <xsd:element name="DocuWise.Legacy.Department" ma:index="27" nillable="true" ma:displayName="DW Afdeling" ma:internalName="Docuwise_x002e_Legacy_x002e_Depart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05d42-89eb-43c3-ae46-3fd3b7e1c958" elementFormDefault="qualified">
    <xsd:import namespace="http://schemas.microsoft.com/office/2006/documentManagement/types"/>
    <xsd:import namespace="http://schemas.microsoft.com/office/infopath/2007/PartnerControls"/>
    <xsd:element name="_dlc_DocId" ma:index="2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 ma:index="8" ma:displayName="Emne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Wise.Language xmlns="f01e8204-c9c5-4b3a-ae89-76efb91ee6dd" xsi:nil="true"/>
    <DocuWise.Project xmlns="f01e8204-c9c5-4b3a-ae89-76efb91ee6dd" xsi:nil="true"/>
    <DocuWise.Type xmlns="f01e8204-c9c5-4b3a-ae89-76efb91ee6dd" xsi:nil="true"/>
    <DocuWise.Person xmlns="f01e8204-c9c5-4b3a-ae89-76efb91ee6dd" xsi:nil="true"/>
    <DocuWise.PersonText xmlns="f01e8204-c9c5-4b3a-ae89-76efb91ee6dd" xsi:nil="true"/>
    <DocuWise.Received xmlns="f01e8204-c9c5-4b3a-ae89-76efb91ee6dd">false</DocuWise.Received>
    <DocuWise.Ended xmlns="f01e8204-c9c5-4b3a-ae89-76efb91ee6dd">false</DocuWise.Ended>
    <DocuWise.Legacy.Department xmlns="f01e8204-c9c5-4b3a-ae89-76efb91ee6dd" xsi:nil="true"/>
    <DocuWise.CompanyText xmlns="f01e8204-c9c5-4b3a-ae89-76efb91ee6dd" xsi:nil="true"/>
    <DocuWise.Legacy.CreatedByEmail xmlns="f01e8204-c9c5-4b3a-ae89-76efb91ee6dd">pet@seges.dk</DocuWise.Legacy.CreatedByEmail>
    <Docuwise.Number xmlns="f01e8204-c9c5-4b3a-ae89-76efb91ee6dd" xsi:nil="true"/>
    <DocuWise.CaseWorker xmlns="f01e8204-c9c5-4b3a-ae89-76efb91ee6dd">
      <UserInfo>
        <DisplayName/>
        <AccountId xsi:nil="true"/>
        <AccountType/>
      </UserInfo>
    </DocuWise.CaseWorker>
    <DocuWise.Legacy.CaseWorkerEmail xmlns="f01e8204-c9c5-4b3a-ae89-76efb91ee6dd" xsi:nil="true"/>
    <DocuWise.CHRNumber xmlns="f01e8204-c9c5-4b3a-ae89-76efb91ee6dd" xsi:nil="true"/>
    <DocuWise.Legacy.CreatedByName xmlns="f01e8204-c9c5-4b3a-ae89-76efb91ee6dd">Per Tybirk</DocuWise.Legacy.CreatedByName>
    <DocuWise.Legacy.CaseWorkerName xmlns="f01e8204-c9c5-4b3a-ae89-76efb91ee6dd">Per Tybirk</DocuWise.Legacy.CaseWorkerName>
    <DocuWise.TestNumber xmlns="f01e8204-c9c5-4b3a-ae89-76efb91ee6dd" xsi:nil="true"/>
    <DocuWise.Company xmlns="f01e8204-c9c5-4b3a-ae89-76efb91ee6dd" xsi:nil="true"/>
    <DocuWise.JobDescription xmlns="f01e8204-c9c5-4b3a-ae89-76efb91ee6dd" xsi:nil="true"/>
    <_dlc_DocId xmlns="95205d42-89eb-43c3-ae46-3fd3b7e1c958">LFID-25-75723</_dlc_DocId>
    <_dlc_DocIdUrl xmlns="95205d42-89eb-43c3-ae46-3fd3b7e1c958">
      <Url>http://lf-dokumenter/vsp/vspaktivteter/_layouts/DocIdRedir.aspx?ID=LFID-25-75723</Url>
      <Description>LFID-25-75723</Description>
    </_dlc_DocIdUrl>
  </documentManagement>
</p:properties>
</file>

<file path=customXml/itemProps1.xml><?xml version="1.0" encoding="utf-8"?>
<ds:datastoreItem xmlns:ds="http://schemas.openxmlformats.org/officeDocument/2006/customXml" ds:itemID="{65E5C505-2D90-4600-8E1A-A2BD5744E8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223CF-A2D9-40B1-AA1A-AC6BECB2776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C4B9EAF-32C7-4FAB-8296-F7345D9C7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e8204-c9c5-4b3a-ae89-76efb91ee6dd"/>
    <ds:schemaRef ds:uri="95205d42-89eb-43c3-ae46-3fd3b7e1c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576318-F584-4FC1-A66D-0F84FA73D38D}">
  <ds:schemaRefs>
    <ds:schemaRef ds:uri="http://purl.org/dc/elements/1.1/"/>
    <ds:schemaRef ds:uri="http://purl.org/dc/terms/"/>
    <ds:schemaRef ds:uri="http://schemas.microsoft.com/office/infopath/2007/PartnerControls"/>
    <ds:schemaRef ds:uri="95205d42-89eb-43c3-ae46-3fd3b7e1c95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f01e8204-c9c5-4b3a-ae89-76efb91ee6d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BAT, NH3, slagtesvin+smågrise, </vt:lpstr>
      <vt:lpstr>Generel NH3, slagtesvin+smågri</vt:lpstr>
      <vt:lpstr>BAT, NH3, søer</vt:lpstr>
      <vt:lpstr>generelle, NH3, søer </vt:lpstr>
      <vt:lpstr>BAT for fosfor</vt:lpstr>
      <vt:lpstr>forklaring, vægtkorrektion, BAT</vt:lpstr>
      <vt:lpstr>NH3 2005-06 norm reference</vt:lpstr>
      <vt:lpstr>Ark2</vt:lpstr>
    </vt:vector>
  </TitlesOfParts>
  <Company>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Tybirk</dc:creator>
  <cp:lastModifiedBy>Linda Brix</cp:lastModifiedBy>
  <cp:lastPrinted>2015-12-17T08:47:31Z</cp:lastPrinted>
  <dcterms:created xsi:type="dcterms:W3CDTF">2015-02-24T13:53:46Z</dcterms:created>
  <dcterms:modified xsi:type="dcterms:W3CDTF">2016-10-12T10:44:31Z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0x01010039AECF0C0DF042669F1227F4A133879E0100C463F228579D7B40BC7AC9090504053D</vt:lpwstr>
  </property>
  <property fmtid="{D5CDD505-2E9C-101B-9397-08002B2CF9AE}" pid="3" name="_dlc_DocIdItemGuid">
    <vt:lpwstr>c86cf78f-aecc-4e97-aff3-c6f2a65348e4</vt:lpwstr>
  </property>
</Properties>
</file>