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enne_projektmappe" defaultThemeVersion="124226"/>
  <bookViews>
    <workbookView xWindow="120" yWindow="1140" windowWidth="15180" windowHeight="11235" tabRatio="826" activeTab="1"/>
  </bookViews>
  <sheets>
    <sheet name="Beregnet smågrisenotering" sheetId="35" r:id="rId1"/>
    <sheet name="Kalkuler Mælkekopper" sheetId="36" r:id="rId2"/>
    <sheet name="Litteratur studier" sheetId="31" r:id="rId3"/>
  </sheets>
  <definedNames>
    <definedName name="_AMO_UniqueIdentifier" hidden="1">"'79fe585b-fe08-4b21-bcee-972d05b7cfad'"</definedName>
    <definedName name="_xlnm._FilterDatabase" localSheetId="1" hidden="1">'Kalkuler Mælkekopper'!$A$320:$H$476</definedName>
    <definedName name="_xlnm._FilterDatabase" localSheetId="2" hidden="1">'Litteratur studier'!$B$8:$I$29</definedName>
    <definedName name="_xlnm.Print_Area" localSheetId="1">'Kalkuler Mælkekopper'!$B$22:$H$256</definedName>
  </definedNames>
  <calcPr calcId="145621"/>
</workbook>
</file>

<file path=xl/calcChain.xml><?xml version="1.0" encoding="utf-8"?>
<calcChain xmlns="http://schemas.openxmlformats.org/spreadsheetml/2006/main">
  <c r="D266" i="36" l="1"/>
  <c r="F212" i="36"/>
  <c r="B212" i="36"/>
  <c r="F80" i="36"/>
  <c r="B80" i="36"/>
  <c r="F222" i="36"/>
  <c r="B222" i="36"/>
  <c r="F158" i="36"/>
  <c r="B158" i="36"/>
  <c r="D36" i="36"/>
  <c r="D28" i="36"/>
  <c r="G28" i="36" s="1"/>
  <c r="C179" i="36"/>
  <c r="F28" i="36"/>
  <c r="H28" i="36" l="1"/>
  <c r="E28" i="36"/>
  <c r="D323" i="36" l="1"/>
  <c r="C323" i="36"/>
  <c r="D63" i="36"/>
  <c r="D25" i="36" l="1"/>
  <c r="D273" i="36" l="1"/>
  <c r="G31" i="36"/>
  <c r="F31" i="36"/>
  <c r="D276" i="36"/>
  <c r="C276" i="36"/>
  <c r="E39" i="36"/>
  <c r="D65" i="36"/>
  <c r="C65" i="36"/>
  <c r="D100" i="36"/>
  <c r="E100" i="36" s="1"/>
  <c r="G122" i="36"/>
  <c r="F122" i="36"/>
  <c r="H122" i="36" l="1"/>
  <c r="G103" i="36" l="1"/>
  <c r="F103" i="36"/>
  <c r="D103" i="36"/>
  <c r="E103" i="36" s="1"/>
  <c r="C122" i="36"/>
  <c r="D122" i="36"/>
  <c r="C92" i="36"/>
  <c r="G106" i="36"/>
  <c r="F106" i="36"/>
  <c r="D106" i="36"/>
  <c r="E106" i="36" s="1"/>
  <c r="C105" i="36"/>
  <c r="C121" i="36" s="1"/>
  <c r="G118" i="36"/>
  <c r="F118" i="36"/>
  <c r="D118" i="36"/>
  <c r="E118" i="36" s="1"/>
  <c r="E122" i="36" l="1"/>
  <c r="H103" i="36"/>
  <c r="H118" i="36"/>
  <c r="H106" i="36"/>
  <c r="C493" i="36" l="1"/>
  <c r="G491" i="36"/>
  <c r="F491" i="36"/>
  <c r="D491" i="36"/>
  <c r="C491" i="36"/>
  <c r="G105" i="36"/>
  <c r="F105" i="36"/>
  <c r="D105" i="36"/>
  <c r="E105" i="36" s="1"/>
  <c r="E493" i="36" s="1"/>
  <c r="F100" i="36"/>
  <c r="C101" i="36"/>
  <c r="F101" i="36" s="1"/>
  <c r="F490" i="36" s="1"/>
  <c r="C486" i="36"/>
  <c r="G100" i="36"/>
  <c r="G44" i="36"/>
  <c r="F44" i="36"/>
  <c r="D44" i="36"/>
  <c r="C197" i="36" s="1"/>
  <c r="E36" i="36"/>
  <c r="E29" i="36"/>
  <c r="G51" i="36"/>
  <c r="F51" i="36"/>
  <c r="D51" i="36"/>
  <c r="G39" i="36"/>
  <c r="F39" i="36"/>
  <c r="C175" i="36"/>
  <c r="C174" i="36"/>
  <c r="G499" i="36"/>
  <c r="F499" i="36"/>
  <c r="G488" i="36"/>
  <c r="F488" i="36"/>
  <c r="G485" i="36"/>
  <c r="F485" i="36"/>
  <c r="F49" i="36"/>
  <c r="F48" i="36"/>
  <c r="D49" i="36"/>
  <c r="G49" i="36" s="1"/>
  <c r="D48" i="36"/>
  <c r="G48" i="36" s="1"/>
  <c r="G63" i="36"/>
  <c r="F63" i="36"/>
  <c r="G56" i="36"/>
  <c r="G55" i="36"/>
  <c r="G54" i="36"/>
  <c r="G53" i="36"/>
  <c r="D219" i="36"/>
  <c r="D218" i="36"/>
  <c r="C219" i="36"/>
  <c r="C218" i="36"/>
  <c r="H39" i="36" l="1"/>
  <c r="H105" i="36"/>
  <c r="H100" i="36"/>
  <c r="F493" i="36"/>
  <c r="F121" i="36"/>
  <c r="G493" i="36"/>
  <c r="G121" i="36"/>
  <c r="D493" i="36"/>
  <c r="D121" i="36"/>
  <c r="E121" i="36" s="1"/>
  <c r="D101" i="36"/>
  <c r="G101" i="36"/>
  <c r="D486" i="36"/>
  <c r="C490" i="36"/>
  <c r="G486" i="36"/>
  <c r="G489" i="36" s="1"/>
  <c r="F486" i="36"/>
  <c r="F489" i="36" s="1"/>
  <c r="D292" i="36"/>
  <c r="C292" i="36"/>
  <c r="C40" i="36"/>
  <c r="G36" i="36"/>
  <c r="F36" i="36"/>
  <c r="D186" i="36"/>
  <c r="D188" i="36" s="1"/>
  <c r="C186" i="36"/>
  <c r="C266" i="36"/>
  <c r="G29" i="36"/>
  <c r="F29" i="36"/>
  <c r="G27" i="36"/>
  <c r="F27" i="36"/>
  <c r="C178" i="36"/>
  <c r="F25" i="36"/>
  <c r="C30" i="36"/>
  <c r="F26" i="36"/>
  <c r="D26" i="36"/>
  <c r="D27" i="36"/>
  <c r="E27" i="36" s="1"/>
  <c r="F24" i="36"/>
  <c r="G24" i="36" s="1"/>
  <c r="D24" i="36"/>
  <c r="C187" i="36" l="1"/>
  <c r="C192" i="36" s="1"/>
  <c r="C188" i="36"/>
  <c r="H27" i="36"/>
  <c r="D187" i="36"/>
  <c r="D192" i="36" s="1"/>
  <c r="D194" i="36"/>
  <c r="D191" i="36"/>
  <c r="D193" i="36" s="1"/>
  <c r="H121" i="36"/>
  <c r="G490" i="36"/>
  <c r="H101" i="36"/>
  <c r="D490" i="36"/>
  <c r="E101" i="36"/>
  <c r="E490" i="36" s="1"/>
  <c r="E25" i="36"/>
  <c r="E77" i="36"/>
  <c r="G26" i="36"/>
  <c r="G30" i="36" s="1"/>
  <c r="E26" i="36"/>
  <c r="H29" i="36"/>
  <c r="H36" i="36"/>
  <c r="C293" i="36"/>
  <c r="G40" i="36"/>
  <c r="F40" i="36"/>
  <c r="D75" i="36"/>
  <c r="E75" i="36" s="1"/>
  <c r="G25" i="36"/>
  <c r="D40" i="36"/>
  <c r="F30" i="36"/>
  <c r="D30" i="36"/>
  <c r="E30" i="36" s="1"/>
  <c r="D287" i="36"/>
  <c r="D226" i="36"/>
  <c r="B441" i="36"/>
  <c r="B442" i="36" s="1"/>
  <c r="B443" i="36" s="1"/>
  <c r="D440" i="36"/>
  <c r="C433" i="36"/>
  <c r="C226" i="36"/>
  <c r="D357" i="36"/>
  <c r="D369" i="36" s="1"/>
  <c r="C370" i="36"/>
  <c r="C371" i="36" s="1"/>
  <c r="C202" i="36"/>
  <c r="C141" i="36"/>
  <c r="D147" i="36"/>
  <c r="D146" i="36" s="1"/>
  <c r="B148" i="36"/>
  <c r="B147" i="36"/>
  <c r="C142" i="36"/>
  <c r="E150" i="36" s="1"/>
  <c r="D151" i="36"/>
  <c r="B151" i="36"/>
  <c r="D363" i="36"/>
  <c r="C287" i="36"/>
  <c r="C274" i="36"/>
  <c r="C191" i="36"/>
  <c r="C193" i="36" s="1"/>
  <c r="C194" i="36"/>
  <c r="C341" i="36"/>
  <c r="C342" i="36"/>
  <c r="C313" i="36" s="1"/>
  <c r="D302" i="36"/>
  <c r="C302" i="36"/>
  <c r="J340" i="36"/>
  <c r="E236" i="36" s="1"/>
  <c r="J339" i="36"/>
  <c r="E235" i="36" s="1"/>
  <c r="J338" i="36"/>
  <c r="E234" i="36" s="1"/>
  <c r="J337" i="36"/>
  <c r="E233" i="36" s="1"/>
  <c r="J336" i="36"/>
  <c r="E232" i="36" s="1"/>
  <c r="J335" i="36"/>
  <c r="E231" i="36" s="1"/>
  <c r="J334" i="36"/>
  <c r="E230" i="36" s="1"/>
  <c r="B512" i="36"/>
  <c r="D488" i="36"/>
  <c r="D489" i="36"/>
  <c r="C488" i="36"/>
  <c r="C489" i="36"/>
  <c r="B526" i="36"/>
  <c r="B511" i="36"/>
  <c r="B525" i="36"/>
  <c r="B510" i="36"/>
  <c r="B524" i="36"/>
  <c r="B523" i="36"/>
  <c r="B519" i="36"/>
  <c r="B518" i="36"/>
  <c r="B517" i="36"/>
  <c r="B516" i="36"/>
  <c r="B513" i="36"/>
  <c r="B507" i="36" s="1"/>
  <c r="D499" i="36"/>
  <c r="C499" i="36"/>
  <c r="B150" i="36"/>
  <c r="D148" i="36"/>
  <c r="B149" i="36"/>
  <c r="D149" i="36"/>
  <c r="D150" i="36"/>
  <c r="B114" i="36"/>
  <c r="B113" i="36"/>
  <c r="B112" i="36"/>
  <c r="B111" i="36"/>
  <c r="D485" i="36"/>
  <c r="C485" i="36"/>
  <c r="C167" i="36"/>
  <c r="G70" i="36" s="1"/>
  <c r="C166" i="36"/>
  <c r="G74" i="36"/>
  <c r="D314" i="36"/>
  <c r="C316" i="36"/>
  <c r="F74" i="36"/>
  <c r="C314" i="36"/>
  <c r="D236" i="36"/>
  <c r="C236" i="36"/>
  <c r="B236" i="36"/>
  <c r="D235" i="36"/>
  <c r="C235" i="36"/>
  <c r="B235" i="36"/>
  <c r="D234" i="36"/>
  <c r="C234" i="36"/>
  <c r="B234" i="36"/>
  <c r="D233" i="36"/>
  <c r="C233" i="36"/>
  <c r="B233" i="36"/>
  <c r="D232" i="36"/>
  <c r="C232" i="36"/>
  <c r="B232" i="36"/>
  <c r="D231" i="36"/>
  <c r="C231" i="36"/>
  <c r="B231" i="36"/>
  <c r="D230" i="36"/>
  <c r="C230" i="36"/>
  <c r="B230" i="36"/>
  <c r="E229" i="36"/>
  <c r="D229" i="36"/>
  <c r="C229" i="36"/>
  <c r="F207" i="36"/>
  <c r="C180" i="36"/>
  <c r="E219" i="36"/>
  <c r="E218" i="36"/>
  <c r="C88" i="36"/>
  <c r="C87" i="36"/>
  <c r="C86" i="36"/>
  <c r="B108" i="36"/>
  <c r="B105" i="36"/>
  <c r="B107" i="36"/>
  <c r="G65" i="36"/>
  <c r="F65" i="36"/>
  <c r="B61" i="36"/>
  <c r="B59" i="36"/>
  <c r="B42" i="36"/>
  <c r="B41" i="36"/>
  <c r="B33" i="36"/>
  <c r="B26" i="36"/>
  <c r="B25" i="36"/>
  <c r="B13" i="35"/>
  <c r="B15" i="35"/>
  <c r="B16" i="35"/>
  <c r="E15" i="35"/>
  <c r="B12" i="35"/>
  <c r="E11" i="35"/>
  <c r="D11" i="35"/>
  <c r="E12" i="35"/>
  <c r="C20" i="35"/>
  <c r="E16" i="35"/>
  <c r="E13" i="35"/>
  <c r="B14" i="35"/>
  <c r="E14" i="35"/>
  <c r="D293" i="36" l="1"/>
  <c r="E40" i="36"/>
  <c r="H40" i="36"/>
  <c r="H77" i="36"/>
  <c r="H30" i="36"/>
  <c r="D70" i="36"/>
  <c r="E70" i="36" s="1"/>
  <c r="H70" i="36"/>
  <c r="G75" i="36"/>
  <c r="C74" i="36"/>
  <c r="D74" i="36"/>
  <c r="B500" i="36"/>
  <c r="B504" i="36"/>
  <c r="B502" i="36"/>
  <c r="C441" i="36"/>
  <c r="D441" i="36" s="1"/>
  <c r="B503" i="36"/>
  <c r="H74" i="36"/>
  <c r="B506" i="36"/>
  <c r="D370" i="36"/>
  <c r="E370" i="36" s="1"/>
  <c r="F370" i="36" s="1"/>
  <c r="B501" i="36"/>
  <c r="C442" i="36"/>
  <c r="E151" i="36"/>
  <c r="D316" i="36"/>
  <c r="G69" i="36" s="1"/>
  <c r="B505" i="36"/>
  <c r="E146" i="36"/>
  <c r="E147" i="36" s="1"/>
  <c r="C312" i="36"/>
  <c r="C372" i="36"/>
  <c r="D371" i="36"/>
  <c r="B444" i="36"/>
  <c r="C443" i="36"/>
  <c r="E369" i="36"/>
  <c r="F369" i="36" s="1"/>
  <c r="H25" i="36"/>
  <c r="E74" i="36" l="1"/>
  <c r="D69" i="36"/>
  <c r="E69" i="36" s="1"/>
  <c r="H69" i="36"/>
  <c r="D442" i="36"/>
  <c r="H75" i="36"/>
  <c r="E371" i="36"/>
  <c r="F371" i="36" s="1"/>
  <c r="D443" i="36"/>
  <c r="B445" i="36"/>
  <c r="C444" i="36"/>
  <c r="C373" i="36"/>
  <c r="D372" i="36"/>
  <c r="C154" i="36"/>
  <c r="E148" i="36"/>
  <c r="E149" i="36" s="1"/>
  <c r="C374" i="36" l="1"/>
  <c r="D373" i="36"/>
  <c r="E372" i="36"/>
  <c r="F372" i="36" s="1"/>
  <c r="D444" i="36"/>
  <c r="C445" i="36"/>
  <c r="B446" i="36"/>
  <c r="C446" i="36" l="1"/>
  <c r="B447" i="36"/>
  <c r="E373" i="36"/>
  <c r="F373" i="36" s="1"/>
  <c r="C375" i="36"/>
  <c r="D374" i="36"/>
  <c r="D445" i="36"/>
  <c r="C376" i="36" l="1"/>
  <c r="D375" i="36"/>
  <c r="E375" i="36" s="1"/>
  <c r="F375" i="36" s="1"/>
  <c r="E374" i="36"/>
  <c r="F374" i="36" s="1"/>
  <c r="C447" i="36"/>
  <c r="B448" i="36"/>
  <c r="D446" i="36"/>
  <c r="D447" i="36" l="1"/>
  <c r="C377" i="36"/>
  <c r="D376" i="36"/>
  <c r="B449" i="36"/>
  <c r="C448" i="36"/>
  <c r="C378" i="36" l="1"/>
  <c r="D377" i="36"/>
  <c r="C449" i="36"/>
  <c r="B450" i="36"/>
  <c r="D448" i="36"/>
  <c r="E376" i="36"/>
  <c r="F376" i="36" s="1"/>
  <c r="C450" i="36" l="1"/>
  <c r="B451" i="36"/>
  <c r="C379" i="36"/>
  <c r="D378" i="36"/>
  <c r="D449" i="36"/>
  <c r="E377" i="36"/>
  <c r="F377" i="36" s="1"/>
  <c r="B452" i="36" l="1"/>
  <c r="C451" i="36"/>
  <c r="D451" i="36" s="1"/>
  <c r="D450" i="36"/>
  <c r="C380" i="36"/>
  <c r="D379" i="36"/>
  <c r="E379" i="36" s="1"/>
  <c r="F379" i="36" s="1"/>
  <c r="E378" i="36"/>
  <c r="F378" i="36" s="1"/>
  <c r="C381" i="36" l="1"/>
  <c r="D380" i="36"/>
  <c r="E380" i="36" s="1"/>
  <c r="F380" i="36" s="1"/>
  <c r="B453" i="36"/>
  <c r="C452" i="36"/>
  <c r="D452" i="36" s="1"/>
  <c r="B454" i="36" l="1"/>
  <c r="C453" i="36"/>
  <c r="D453" i="36" s="1"/>
  <c r="C382" i="36"/>
  <c r="D381" i="36"/>
  <c r="E381" i="36" s="1"/>
  <c r="F381" i="36" s="1"/>
  <c r="C454" i="36" l="1"/>
  <c r="D454" i="36" s="1"/>
  <c r="B455" i="36"/>
  <c r="C383" i="36"/>
  <c r="D382" i="36"/>
  <c r="E382" i="36" s="1"/>
  <c r="F382" i="36" s="1"/>
  <c r="C455" i="36" l="1"/>
  <c r="D455" i="36" s="1"/>
  <c r="B456" i="36"/>
  <c r="C384" i="36"/>
  <c r="D383" i="36"/>
  <c r="E383" i="36" s="1"/>
  <c r="F383" i="36" s="1"/>
  <c r="B457" i="36" l="1"/>
  <c r="C456" i="36"/>
  <c r="D456" i="36" s="1"/>
  <c r="C385" i="36"/>
  <c r="D384" i="36"/>
  <c r="E384" i="36" s="1"/>
  <c r="F384" i="36" s="1"/>
  <c r="C386" i="36" l="1"/>
  <c r="D385" i="36"/>
  <c r="E385" i="36" s="1"/>
  <c r="F385" i="36" s="1"/>
  <c r="C457" i="36"/>
  <c r="D457" i="36" s="1"/>
  <c r="B458" i="36"/>
  <c r="C458" i="36" l="1"/>
  <c r="D458" i="36" s="1"/>
  <c r="B459" i="36"/>
  <c r="C387" i="36"/>
  <c r="D386" i="36"/>
  <c r="E386" i="36" s="1"/>
  <c r="F386" i="36" s="1"/>
  <c r="C388" i="36" l="1"/>
  <c r="D387" i="36"/>
  <c r="E387" i="36" s="1"/>
  <c r="F387" i="36" s="1"/>
  <c r="B460" i="36"/>
  <c r="C459" i="36"/>
  <c r="D459" i="36" s="1"/>
  <c r="B461" i="36" l="1"/>
  <c r="C460" i="36"/>
  <c r="D460" i="36" s="1"/>
  <c r="C389" i="36"/>
  <c r="D388" i="36"/>
  <c r="E388" i="36" s="1"/>
  <c r="F388" i="36" s="1"/>
  <c r="C390" i="36" l="1"/>
  <c r="D389" i="36"/>
  <c r="E389" i="36" s="1"/>
  <c r="F389" i="36" s="1"/>
  <c r="C461" i="36"/>
  <c r="D461" i="36" s="1"/>
  <c r="B462" i="36"/>
  <c r="C462" i="36" l="1"/>
  <c r="D462" i="36" s="1"/>
  <c r="B463" i="36"/>
  <c r="C391" i="36"/>
  <c r="D390" i="36"/>
  <c r="E390" i="36" s="1"/>
  <c r="F390" i="36" s="1"/>
  <c r="C463" i="36" l="1"/>
  <c r="D463" i="36" s="1"/>
  <c r="B464" i="36"/>
  <c r="C392" i="36"/>
  <c r="D391" i="36"/>
  <c r="E391" i="36" s="1"/>
  <c r="F391" i="36" s="1"/>
  <c r="C393" i="36" l="1"/>
  <c r="D392" i="36"/>
  <c r="E392" i="36" s="1"/>
  <c r="F392" i="36" s="1"/>
  <c r="B465" i="36"/>
  <c r="C464" i="36"/>
  <c r="D464" i="36" s="1"/>
  <c r="C394" i="36" l="1"/>
  <c r="D393" i="36"/>
  <c r="E393" i="36" s="1"/>
  <c r="F393" i="36" s="1"/>
  <c r="C465" i="36"/>
  <c r="D465" i="36" s="1"/>
  <c r="B466" i="36"/>
  <c r="C466" i="36" l="1"/>
  <c r="D466" i="36" s="1"/>
  <c r="B467" i="36"/>
  <c r="D394" i="36"/>
  <c r="E394" i="36" s="1"/>
  <c r="F394" i="36" s="1"/>
  <c r="C395" i="36"/>
  <c r="C396" i="36" l="1"/>
  <c r="D395" i="36"/>
  <c r="E395" i="36" s="1"/>
  <c r="F395" i="36" s="1"/>
  <c r="B468" i="36"/>
  <c r="C467" i="36"/>
  <c r="D467" i="36" s="1"/>
  <c r="D396" i="36" l="1"/>
  <c r="E396" i="36" s="1"/>
  <c r="F396" i="36" s="1"/>
  <c r="C397" i="36"/>
  <c r="B469" i="36"/>
  <c r="C468" i="36"/>
  <c r="D468" i="36" s="1"/>
  <c r="D397" i="36" l="1"/>
  <c r="E397" i="36" s="1"/>
  <c r="F397" i="36" s="1"/>
  <c r="C398" i="36"/>
  <c r="B470" i="36"/>
  <c r="C469" i="36"/>
  <c r="D469" i="36" s="1"/>
  <c r="C470" i="36" l="1"/>
  <c r="D470" i="36" s="1"/>
  <c r="B471" i="36"/>
  <c r="D398" i="36"/>
  <c r="E398" i="36" s="1"/>
  <c r="F398" i="36" s="1"/>
  <c r="C399" i="36"/>
  <c r="C400" i="36" l="1"/>
  <c r="D399" i="36"/>
  <c r="E399" i="36" s="1"/>
  <c r="F399" i="36" s="1"/>
  <c r="C471" i="36"/>
  <c r="D471" i="36" s="1"/>
  <c r="B472" i="36"/>
  <c r="B473" i="36" l="1"/>
  <c r="C472" i="36"/>
  <c r="D472" i="36" s="1"/>
  <c r="D400" i="36"/>
  <c r="E400" i="36" s="1"/>
  <c r="F400" i="36" s="1"/>
  <c r="C401" i="36"/>
  <c r="C473" i="36" l="1"/>
  <c r="D473" i="36" s="1"/>
  <c r="B474" i="36"/>
  <c r="C402" i="36"/>
  <c r="D401" i="36"/>
  <c r="E401" i="36" s="1"/>
  <c r="F401" i="36" s="1"/>
  <c r="C403" i="36" l="1"/>
  <c r="D402" i="36"/>
  <c r="E402" i="36" s="1"/>
  <c r="F402" i="36" s="1"/>
  <c r="C474" i="36"/>
  <c r="D474" i="36" s="1"/>
  <c r="B475" i="36"/>
  <c r="B476" i="36" l="1"/>
  <c r="C476" i="36" s="1"/>
  <c r="C475" i="36"/>
  <c r="D475" i="36" s="1"/>
  <c r="C404" i="36"/>
  <c r="D403" i="36"/>
  <c r="E403" i="36" s="1"/>
  <c r="F403" i="36" s="1"/>
  <c r="D476" i="36" l="1"/>
  <c r="G239" i="36"/>
  <c r="G240" i="36"/>
  <c r="C209" i="36"/>
  <c r="D404" i="36"/>
  <c r="E404" i="36" s="1"/>
  <c r="F404" i="36" s="1"/>
  <c r="C405" i="36"/>
  <c r="F240" i="36" l="1"/>
  <c r="E226" i="36" s="1"/>
  <c r="F226" i="36"/>
  <c r="C406" i="36"/>
  <c r="D405" i="36"/>
  <c r="E405" i="36" s="1"/>
  <c r="F405" i="36" s="1"/>
  <c r="F225" i="36"/>
  <c r="F239" i="36"/>
  <c r="G241" i="36"/>
  <c r="F241" i="36" l="1"/>
  <c r="E225" i="36"/>
  <c r="D406" i="36"/>
  <c r="E406" i="36" s="1"/>
  <c r="F406" i="36" s="1"/>
  <c r="C407" i="36"/>
  <c r="C408" i="36" l="1"/>
  <c r="D407" i="36"/>
  <c r="E407" i="36" s="1"/>
  <c r="F407" i="36" s="1"/>
  <c r="D408" i="36" l="1"/>
  <c r="E408" i="36" s="1"/>
  <c r="F408" i="36" s="1"/>
  <c r="C409" i="36"/>
  <c r="C410" i="36" l="1"/>
  <c r="D409" i="36"/>
  <c r="E409" i="36" s="1"/>
  <c r="F409" i="36" s="1"/>
  <c r="C411" i="36" l="1"/>
  <c r="D410" i="36"/>
  <c r="E410" i="36" s="1"/>
  <c r="F410" i="36" s="1"/>
  <c r="C412" i="36" l="1"/>
  <c r="D411" i="36"/>
  <c r="E411" i="36" s="1"/>
  <c r="F411" i="36" s="1"/>
  <c r="D412" i="36" l="1"/>
  <c r="E412" i="36" s="1"/>
  <c r="F412" i="36" s="1"/>
  <c r="C413" i="36"/>
  <c r="C414" i="36" l="1"/>
  <c r="D413" i="36"/>
  <c r="E413" i="36" s="1"/>
  <c r="F413" i="36" s="1"/>
  <c r="D414" i="36" l="1"/>
  <c r="E414" i="36" s="1"/>
  <c r="F414" i="36" s="1"/>
  <c r="C415" i="36"/>
  <c r="C416" i="36" l="1"/>
  <c r="D415" i="36"/>
  <c r="E415" i="36" s="1"/>
  <c r="F415" i="36" s="1"/>
  <c r="C417" i="36" l="1"/>
  <c r="D416" i="36"/>
  <c r="E416" i="36" s="1"/>
  <c r="F416" i="36" s="1"/>
  <c r="C418" i="36" l="1"/>
  <c r="D417" i="36"/>
  <c r="E417" i="36" s="1"/>
  <c r="F417" i="36" s="1"/>
  <c r="D418" i="36" l="1"/>
  <c r="E418" i="36" s="1"/>
  <c r="F418" i="36" s="1"/>
  <c r="C419" i="36"/>
  <c r="C420" i="36" l="1"/>
  <c r="D419" i="36"/>
  <c r="E419" i="36" s="1"/>
  <c r="F419" i="36" s="1"/>
  <c r="C421" i="36" l="1"/>
  <c r="D420" i="36"/>
  <c r="E420" i="36" s="1"/>
  <c r="F420" i="36" s="1"/>
  <c r="C422" i="36" l="1"/>
  <c r="D421" i="36"/>
  <c r="E421" i="36" s="1"/>
  <c r="F421" i="36" s="1"/>
  <c r="D422" i="36" l="1"/>
  <c r="E422" i="36" s="1"/>
  <c r="F422" i="36" s="1"/>
  <c r="C423" i="36"/>
  <c r="C424" i="36" l="1"/>
  <c r="D423" i="36"/>
  <c r="E423" i="36" s="1"/>
  <c r="F423" i="36" s="1"/>
  <c r="C425" i="36" l="1"/>
  <c r="D424" i="36"/>
  <c r="E424" i="36" s="1"/>
  <c r="F424" i="36" s="1"/>
  <c r="D425" i="36" l="1"/>
  <c r="E425" i="36" s="1"/>
  <c r="F425" i="36" s="1"/>
  <c r="C426" i="36"/>
  <c r="C427" i="36" l="1"/>
  <c r="D426" i="36"/>
  <c r="E426" i="36" s="1"/>
  <c r="F426" i="36" s="1"/>
  <c r="D427" i="36" l="1"/>
  <c r="E363" i="36"/>
  <c r="F363" i="36" s="1"/>
  <c r="E364" i="36"/>
  <c r="F364" i="36" s="1"/>
  <c r="E361" i="36"/>
  <c r="F361" i="36" s="1"/>
  <c r="E362" i="36" l="1"/>
  <c r="F362" i="36" s="1"/>
  <c r="E360" i="36"/>
  <c r="F360" i="36" s="1"/>
  <c r="E427" i="36"/>
  <c r="F427" i="36" s="1"/>
  <c r="C198" i="36" s="1"/>
  <c r="C303" i="36"/>
  <c r="C264" i="36"/>
  <c r="C268" i="36" l="1"/>
  <c r="C265" i="36"/>
  <c r="C267" i="36" s="1"/>
  <c r="C288" i="36" l="1"/>
  <c r="C269" i="36"/>
  <c r="C270" i="36" s="1"/>
  <c r="C272" i="36" s="1"/>
  <c r="C275" i="36" s="1"/>
  <c r="C277" i="36" s="1"/>
  <c r="C278" i="36" s="1"/>
  <c r="C289" i="36" s="1"/>
  <c r="C334" i="36" l="1"/>
  <c r="C291" i="36"/>
  <c r="C279" i="36"/>
  <c r="F37" i="36" l="1"/>
  <c r="C294" i="36"/>
  <c r="C325" i="36" s="1"/>
  <c r="C280" i="36"/>
  <c r="C304" i="36" s="1"/>
  <c r="F32" i="36" s="1"/>
  <c r="C32" i="36" s="1"/>
  <c r="C281" i="36"/>
  <c r="C282" i="36" s="1"/>
  <c r="F34" i="36" s="1"/>
  <c r="C34" i="36" s="1"/>
  <c r="C37" i="36" l="1"/>
  <c r="C41" i="36" s="1"/>
  <c r="F41" i="36"/>
  <c r="F33" i="36"/>
  <c r="F35" i="36" s="1"/>
  <c r="C33" i="36"/>
  <c r="C324" i="36"/>
  <c r="C315" i="36"/>
  <c r="C306" i="36"/>
  <c r="C296" i="36"/>
  <c r="C297" i="36" s="1"/>
  <c r="C295" i="36"/>
  <c r="C305" i="36"/>
  <c r="C298" i="36"/>
  <c r="F38" i="36" l="1"/>
  <c r="F50" i="36"/>
  <c r="F73" i="36" s="1"/>
  <c r="C43" i="36"/>
  <c r="C38" i="36"/>
  <c r="C35" i="36"/>
  <c r="C50" i="36" s="1"/>
  <c r="C73" i="36" s="1"/>
  <c r="C42" i="36"/>
  <c r="F43" i="36"/>
  <c r="C346" i="36"/>
  <c r="C350" i="36" s="1"/>
  <c r="C345" i="36"/>
  <c r="C349" i="36" s="1"/>
  <c r="C347" i="36"/>
  <c r="C307" i="36"/>
  <c r="C335" i="36"/>
  <c r="C320" i="36"/>
  <c r="C68" i="36" l="1"/>
  <c r="C104" i="36"/>
  <c r="C337" i="36"/>
  <c r="C309" i="36" s="1"/>
  <c r="C336" i="36"/>
  <c r="C308" i="36" s="1"/>
  <c r="C322" i="36"/>
  <c r="F42" i="36"/>
  <c r="F104" i="36" s="1"/>
  <c r="F124" i="36" l="1"/>
  <c r="C124" i="36"/>
  <c r="C326" i="36"/>
  <c r="C328" i="36" s="1"/>
  <c r="C331" i="36"/>
  <c r="F46" i="36" s="1"/>
  <c r="C310" i="36"/>
  <c r="F59" i="36"/>
  <c r="F61" i="36" l="1"/>
  <c r="C59" i="36"/>
  <c r="C61" i="36" s="1"/>
  <c r="C332" i="36"/>
  <c r="C311" i="36"/>
  <c r="F62" i="36" l="1"/>
  <c r="F66" i="36" s="1"/>
  <c r="F107" i="36"/>
  <c r="F492" i="36" s="1"/>
  <c r="C62" i="36"/>
  <c r="C64" i="36" s="1"/>
  <c r="C119" i="36" s="1"/>
  <c r="C107" i="36"/>
  <c r="C492" i="36" s="1"/>
  <c r="C494" i="36" s="1"/>
  <c r="F45" i="36"/>
  <c r="F67" i="36" s="1"/>
  <c r="C108" i="36" l="1"/>
  <c r="C117" i="36"/>
  <c r="C500" i="36"/>
  <c r="F500" i="36"/>
  <c r="F494" i="36"/>
  <c r="C66" i="36"/>
  <c r="F64" i="36"/>
  <c r="F119" i="36" s="1"/>
  <c r="F76" i="36"/>
  <c r="C45" i="36"/>
  <c r="C46" i="36"/>
  <c r="F47" i="36"/>
  <c r="C505" i="36"/>
  <c r="C503" i="36"/>
  <c r="C501" i="36"/>
  <c r="F108" i="36" l="1"/>
  <c r="F117" i="36"/>
  <c r="F503" i="36"/>
  <c r="F501" i="36"/>
  <c r="F505" i="36"/>
  <c r="C47" i="36"/>
  <c r="C67" i="36"/>
  <c r="C76" i="36" s="1"/>
  <c r="C502" i="36"/>
  <c r="C524" i="36" s="1"/>
  <c r="C517" i="36" s="1"/>
  <c r="C510" i="36"/>
  <c r="C506" i="36"/>
  <c r="C504" i="36"/>
  <c r="C525" i="36" s="1"/>
  <c r="C518" i="36" s="1"/>
  <c r="C523" i="36"/>
  <c r="C516" i="36" s="1"/>
  <c r="F506" i="36" l="1"/>
  <c r="F510" i="36"/>
  <c r="F502" i="36"/>
  <c r="F524" i="36" s="1"/>
  <c r="F517" i="36" s="1"/>
  <c r="F523" i="36"/>
  <c r="F516" i="36" s="1"/>
  <c r="F504" i="36"/>
  <c r="F525" i="36" s="1"/>
  <c r="F518" i="36" s="1"/>
  <c r="C511" i="36"/>
  <c r="C112" i="36" s="1"/>
  <c r="C512" i="36"/>
  <c r="C113" i="36" s="1"/>
  <c r="C507" i="36"/>
  <c r="C513" i="36" s="1"/>
  <c r="C111" i="36"/>
  <c r="F511" i="36" l="1"/>
  <c r="F112" i="36" s="1"/>
  <c r="F111" i="36"/>
  <c r="F512" i="36"/>
  <c r="F113" i="36" s="1"/>
  <c r="F507" i="36"/>
  <c r="F513" i="36" s="1"/>
  <c r="C526" i="36"/>
  <c r="C519" i="36" s="1"/>
  <c r="C114" i="36" s="1"/>
  <c r="C120" i="36" s="1"/>
  <c r="C115" i="36" l="1"/>
  <c r="C123" i="36"/>
  <c r="C125" i="36" s="1"/>
  <c r="F526" i="36"/>
  <c r="F519" i="36" s="1"/>
  <c r="F114" i="36" s="1"/>
  <c r="F120" i="36" s="1"/>
  <c r="F115" i="36" l="1"/>
  <c r="F123" i="36"/>
  <c r="H26" i="36"/>
  <c r="D303" i="36"/>
  <c r="D264" i="36"/>
  <c r="D265" i="36" s="1"/>
  <c r="D267" i="36" s="1"/>
  <c r="F125" i="36" l="1"/>
  <c r="D268" i="36"/>
  <c r="D269" i="36" s="1"/>
  <c r="D270" i="36" s="1"/>
  <c r="D272" i="36" s="1"/>
  <c r="D288" i="36"/>
  <c r="D274" i="36" l="1"/>
  <c r="D275" i="36" s="1"/>
  <c r="D277" i="36" l="1"/>
  <c r="D278" i="36" s="1"/>
  <c r="D289" i="36" s="1"/>
  <c r="D291" i="36" l="1"/>
  <c r="D334" i="36"/>
  <c r="D279" i="36"/>
  <c r="G37" i="36" l="1"/>
  <c r="D294" i="36"/>
  <c r="D281" i="36"/>
  <c r="D282" i="36" s="1"/>
  <c r="G34" i="36" s="1"/>
  <c r="D280" i="36"/>
  <c r="D298" i="36" l="1"/>
  <c r="D325" i="36"/>
  <c r="D34" i="36"/>
  <c r="E34" i="36" s="1"/>
  <c r="H34" i="36"/>
  <c r="D37" i="36"/>
  <c r="G41" i="36"/>
  <c r="D296" i="36"/>
  <c r="D297" i="36" s="1"/>
  <c r="D305" i="36"/>
  <c r="D295" i="36"/>
  <c r="D307" i="36" s="1"/>
  <c r="H37" i="36"/>
  <c r="D304" i="36"/>
  <c r="G32" i="36" s="1"/>
  <c r="D32" i="36" s="1"/>
  <c r="D341" i="36"/>
  <c r="D324" i="36"/>
  <c r="D306" i="36"/>
  <c r="D315" i="36"/>
  <c r="H41" i="36" l="1"/>
  <c r="D41" i="36"/>
  <c r="E41" i="36" s="1"/>
  <c r="E37" i="36"/>
  <c r="D33" i="36"/>
  <c r="E33" i="36" s="1"/>
  <c r="E32" i="36"/>
  <c r="G43" i="36"/>
  <c r="H43" i="36" s="1"/>
  <c r="D312" i="36"/>
  <c r="D345" i="36"/>
  <c r="D320" i="36"/>
  <c r="D335" i="36"/>
  <c r="D342" i="36"/>
  <c r="G33" i="36"/>
  <c r="H32" i="36"/>
  <c r="G42" i="36"/>
  <c r="G38" i="36"/>
  <c r="H38" i="36" s="1"/>
  <c r="D38" i="36" l="1"/>
  <c r="E38" i="36" s="1"/>
  <c r="H42" i="36"/>
  <c r="G104" i="36"/>
  <c r="D43" i="36"/>
  <c r="E43" i="36" s="1"/>
  <c r="D42" i="36"/>
  <c r="D35" i="36"/>
  <c r="H33" i="36"/>
  <c r="G35" i="36"/>
  <c r="G57" i="36"/>
  <c r="D346" i="36"/>
  <c r="D350" i="36" s="1"/>
  <c r="G58" i="36"/>
  <c r="D58" i="36" s="1"/>
  <c r="D313" i="36"/>
  <c r="D317" i="36" s="1"/>
  <c r="D347" i="36"/>
  <c r="D322" i="36"/>
  <c r="D336" i="36"/>
  <c r="D308" i="36" s="1"/>
  <c r="D349" i="36"/>
  <c r="G333" i="36"/>
  <c r="G124" i="36" l="1"/>
  <c r="H124" i="36" s="1"/>
  <c r="H104" i="36"/>
  <c r="E42" i="36"/>
  <c r="D104" i="36"/>
  <c r="E104" i="36" s="1"/>
  <c r="D50" i="36"/>
  <c r="E35" i="36"/>
  <c r="D57" i="36"/>
  <c r="D68" i="36" s="1"/>
  <c r="E68" i="36" s="1"/>
  <c r="G68" i="36"/>
  <c r="H68" i="36" s="1"/>
  <c r="G50" i="36"/>
  <c r="H35" i="36"/>
  <c r="D337" i="36"/>
  <c r="D309" i="36" s="1"/>
  <c r="G60" i="36" s="1"/>
  <c r="G71" i="36"/>
  <c r="D318" i="36"/>
  <c r="G72" i="36" s="1"/>
  <c r="D326" i="36"/>
  <c r="D328" i="36" s="1"/>
  <c r="D331" i="36"/>
  <c r="G46" i="36" s="1"/>
  <c r="H46" i="36" s="1"/>
  <c r="G59" i="36"/>
  <c r="D59" i="36" l="1"/>
  <c r="E59" i="36" s="1"/>
  <c r="D310" i="36"/>
  <c r="D124" i="36"/>
  <c r="E124" i="36" s="1"/>
  <c r="D73" i="36"/>
  <c r="E73" i="36" s="1"/>
  <c r="E50" i="36"/>
  <c r="D72" i="36"/>
  <c r="E72" i="36" s="1"/>
  <c r="H72" i="36"/>
  <c r="D71" i="36"/>
  <c r="E71" i="36" s="1"/>
  <c r="H71" i="36"/>
  <c r="G73" i="36"/>
  <c r="H73" i="36" s="1"/>
  <c r="H50" i="36"/>
  <c r="H60" i="36"/>
  <c r="D60" i="36"/>
  <c r="G61" i="36"/>
  <c r="G107" i="36" s="1"/>
  <c r="H59" i="36"/>
  <c r="D332" i="36"/>
  <c r="D311" i="36"/>
  <c r="G492" i="36" l="1"/>
  <c r="G500" i="36" s="1"/>
  <c r="H107" i="36"/>
  <c r="D61" i="36"/>
  <c r="D107" i="36" s="1"/>
  <c r="E60" i="36"/>
  <c r="G45" i="36"/>
  <c r="H61" i="36"/>
  <c r="G62" i="36"/>
  <c r="H62" i="36" s="1"/>
  <c r="D492" i="36" l="1"/>
  <c r="D500" i="36" s="1"/>
  <c r="E107" i="36"/>
  <c r="E492" i="36" s="1"/>
  <c r="G494" i="36"/>
  <c r="G117" i="36" s="1"/>
  <c r="H117" i="36" s="1"/>
  <c r="D62" i="36"/>
  <c r="E61" i="36"/>
  <c r="G66" i="36"/>
  <c r="H66" i="36" s="1"/>
  <c r="G64" i="36"/>
  <c r="G67" i="36"/>
  <c r="H67" i="36" s="1"/>
  <c r="H45" i="36"/>
  <c r="D45" i="36"/>
  <c r="E45" i="36" s="1"/>
  <c r="D46" i="36"/>
  <c r="E46" i="36" s="1"/>
  <c r="G47" i="36"/>
  <c r="H47" i="36" s="1"/>
  <c r="G505" i="36" l="1"/>
  <c r="G506" i="36" s="1"/>
  <c r="G503" i="36"/>
  <c r="G504" i="36" s="1"/>
  <c r="G108" i="36"/>
  <c r="G501" i="36"/>
  <c r="G523" i="36" s="1"/>
  <c r="G516" i="36" s="1"/>
  <c r="D494" i="36"/>
  <c r="D505" i="36" s="1"/>
  <c r="D506" i="36" s="1"/>
  <c r="H64" i="36"/>
  <c r="G119" i="36"/>
  <c r="H119" i="36" s="1"/>
  <c r="E62" i="36"/>
  <c r="D64" i="36"/>
  <c r="D66" i="36"/>
  <c r="E66" i="36" s="1"/>
  <c r="G76" i="36"/>
  <c r="H78" i="36" s="1"/>
  <c r="D47" i="36"/>
  <c r="E47" i="36" s="1"/>
  <c r="D67" i="36"/>
  <c r="G525" i="36" l="1"/>
  <c r="G518" i="36" s="1"/>
  <c r="D108" i="36"/>
  <c r="D501" i="36"/>
  <c r="D502" i="36" s="1"/>
  <c r="G502" i="36"/>
  <c r="G524" i="36" s="1"/>
  <c r="G517" i="36" s="1"/>
  <c r="G510" i="36"/>
  <c r="G111" i="36" s="1"/>
  <c r="H111" i="36" s="1"/>
  <c r="D117" i="36"/>
  <c r="E117" i="36" s="1"/>
  <c r="D503" i="36"/>
  <c r="D504" i="36" s="1"/>
  <c r="D525" i="36" s="1"/>
  <c r="D518" i="36" s="1"/>
  <c r="G512" i="36"/>
  <c r="E64" i="36"/>
  <c r="D119" i="36"/>
  <c r="E119" i="36" s="1"/>
  <c r="G507" i="36"/>
  <c r="G513" i="36" s="1"/>
  <c r="H76" i="36"/>
  <c r="D76" i="36"/>
  <c r="E67" i="36"/>
  <c r="D507" i="36"/>
  <c r="D513" i="36" s="1"/>
  <c r="G511" i="36" l="1"/>
  <c r="G112" i="36" s="1"/>
  <c r="H112" i="36" s="1"/>
  <c r="G113" i="36"/>
  <c r="H113" i="36" s="1"/>
  <c r="D512" i="36"/>
  <c r="D113" i="36" s="1"/>
  <c r="E113" i="36" s="1"/>
  <c r="D523" i="36"/>
  <c r="D516" i="36" s="1"/>
  <c r="D524" i="36"/>
  <c r="D517" i="36" s="1"/>
  <c r="D510" i="36"/>
  <c r="D511" i="36"/>
  <c r="G526" i="36"/>
  <c r="G519" i="36" s="1"/>
  <c r="G114" i="36" s="1"/>
  <c r="E78" i="36"/>
  <c r="C128" i="36" s="1"/>
  <c r="E76" i="36"/>
  <c r="D526" i="36"/>
  <c r="D519" i="36" s="1"/>
  <c r="D114" i="36" s="1"/>
  <c r="D111" i="36" l="1"/>
  <c r="E111" i="36" s="1"/>
  <c r="D112" i="36"/>
  <c r="E112" i="36" s="1"/>
  <c r="G120" i="36"/>
  <c r="H120" i="36" s="1"/>
  <c r="H114" i="36"/>
  <c r="E114" i="36"/>
  <c r="G115" i="36" l="1"/>
  <c r="H115" i="36" s="1"/>
  <c r="D120" i="36"/>
  <c r="D123" i="36" s="1"/>
  <c r="D125" i="36" s="1"/>
  <c r="E125" i="36" s="1"/>
  <c r="C129" i="36" s="1"/>
  <c r="C130" i="36" s="1"/>
  <c r="G123" i="36"/>
  <c r="H123" i="36" s="1"/>
  <c r="G125" i="36" l="1"/>
  <c r="H125" i="36" s="1"/>
  <c r="D115" i="36"/>
  <c r="E115" i="36" s="1"/>
  <c r="E123" i="36"/>
  <c r="E120" i="36"/>
</calcChain>
</file>

<file path=xl/comments1.xml><?xml version="1.0" encoding="utf-8"?>
<comments xmlns="http://schemas.openxmlformats.org/spreadsheetml/2006/main">
  <authors>
    <author>Michael Groes Christiansen</author>
  </authors>
  <commentList>
    <comment ref="B43" authorId="0">
      <text>
        <r>
          <rPr>
            <b/>
            <sz val="9"/>
            <color indexed="81"/>
            <rFont val="Tahoma"/>
            <family val="2"/>
          </rPr>
          <t>Michael Groes Christiansen:</t>
        </r>
        <r>
          <rPr>
            <sz val="9"/>
            <color indexed="81"/>
            <rFont val="Tahoma"/>
            <family val="2"/>
          </rPr>
          <t xml:space="preserve">
Årsagen til at denne vises er at alt for mange tror at der er en meget stor foderbesparelse ved ikke at lave ammesøer</t>
        </r>
      </text>
    </comment>
    <comment ref="B44" authorId="0">
      <text>
        <r>
          <rPr>
            <b/>
            <sz val="9"/>
            <color indexed="81"/>
            <rFont val="Tahoma"/>
            <family val="2"/>
          </rPr>
          <t>Michael Groes Christiansen:</t>
        </r>
        <r>
          <rPr>
            <sz val="9"/>
            <color indexed="81"/>
            <rFont val="Tahoma"/>
            <family val="2"/>
          </rPr>
          <t xml:space="preserve">
program laver autokorrektion op til 14 grise ved soen hvor mælkeydelse i teorien i hvert fald burde stige i forhold til 12 grise</t>
        </r>
      </text>
    </comment>
    <comment ref="B178" authorId="0">
      <text>
        <r>
          <rPr>
            <b/>
            <sz val="9"/>
            <color indexed="81"/>
            <rFont val="Tahoma"/>
            <family val="2"/>
          </rPr>
          <t>Michael Groes Christiansen:</t>
        </r>
        <r>
          <rPr>
            <sz val="9"/>
            <color indexed="81"/>
            <rFont val="Tahoma"/>
            <family val="2"/>
          </rPr>
          <t xml:space="preserve">
Dette kan mælkeerstatning næppe lave om på</t>
        </r>
      </text>
    </comment>
    <comment ref="B182" authorId="0">
      <text>
        <r>
          <rPr>
            <b/>
            <sz val="9"/>
            <color indexed="81"/>
            <rFont val="Tahoma"/>
            <family val="2"/>
          </rPr>
          <t>Michael Groes Christiansen:</t>
        </r>
        <r>
          <rPr>
            <sz val="9"/>
            <color indexed="81"/>
            <rFont val="Tahoma"/>
            <family val="2"/>
          </rPr>
          <t xml:space="preserve">
Bør sættes lidt lavere</t>
        </r>
      </text>
    </comment>
    <comment ref="C210" authorId="0">
      <text>
        <r>
          <rPr>
            <b/>
            <sz val="9"/>
            <color indexed="81"/>
            <rFont val="Tahoma"/>
            <family val="2"/>
          </rPr>
          <t>Michael Groes Christiansen:</t>
        </r>
        <r>
          <rPr>
            <sz val="9"/>
            <color indexed="81"/>
            <rFont val="Tahoma"/>
            <family val="2"/>
          </rPr>
          <t xml:space="preserve">
Median fra et større Seges forsøg viser at 25 % ikke rør mælkekopper
pattegrisedødelighed ved 18 grise ved soen + ME i forhold til 14 + ME. Er årsagen for små mælkekopper, eller at nogen bare ikke vil spise ME ?</t>
        </r>
      </text>
    </comment>
    <comment ref="D273" authorId="0">
      <text>
        <r>
          <rPr>
            <b/>
            <sz val="9"/>
            <color indexed="81"/>
            <rFont val="Tahoma"/>
            <family val="2"/>
          </rPr>
          <t>Michael Groes Christiansen:</t>
        </r>
        <r>
          <rPr>
            <sz val="9"/>
            <color indexed="81"/>
            <rFont val="Tahoma"/>
            <family val="2"/>
          </rPr>
          <t xml:space="preserve">
Median fra et større Seges forsøg viser at 20-25 % ikke rør mælkekopper
pattegrisedødelighed ved 18 grise ved soen + ME i forhold til 14 + ME. Er årsagen for små mælkekopper, eller at nogen bare ikke vil spise ME ?</t>
        </r>
      </text>
    </comment>
  </commentList>
</comments>
</file>

<file path=xl/sharedStrings.xml><?xml version="1.0" encoding="utf-8"?>
<sst xmlns="http://schemas.openxmlformats.org/spreadsheetml/2006/main" count="471" uniqueCount="367">
  <si>
    <t>Levendefødte</t>
  </si>
  <si>
    <t>Drægtighedslængde</t>
  </si>
  <si>
    <t>Antal årssøer</t>
  </si>
  <si>
    <t>Antal farestier</t>
  </si>
  <si>
    <t xml:space="preserve"> </t>
  </si>
  <si>
    <t>a</t>
  </si>
  <si>
    <t>kg</t>
  </si>
  <si>
    <t>Dag</t>
  </si>
  <si>
    <t>Fra</t>
  </si>
  <si>
    <t>Til</t>
  </si>
  <si>
    <t>Mælk i alt</t>
  </si>
  <si>
    <t>Gns l./dag</t>
  </si>
  <si>
    <t>L/gris/dag</t>
  </si>
  <si>
    <t>Fra kg</t>
  </si>
  <si>
    <t>Til kg</t>
  </si>
  <si>
    <t>Smågriseblanding 1</t>
  </si>
  <si>
    <t>Smågriseblanding 2</t>
  </si>
  <si>
    <t>Smågrise</t>
  </si>
  <si>
    <t>Gns. ydelse liter dag/so</t>
  </si>
  <si>
    <t>Liter somælk dag/so</t>
  </si>
  <si>
    <t>Nej</t>
  </si>
  <si>
    <t>Ja</t>
  </si>
  <si>
    <t>Fravænnede grise per årsso</t>
  </si>
  <si>
    <t>Kuld per årsso</t>
  </si>
  <si>
    <t>Gns. grise ved søer efter kuldudjævning</t>
  </si>
  <si>
    <t>Behov kuldudjævningsammesøer</t>
  </si>
  <si>
    <t>Spildfoderdage per kuld</t>
  </si>
  <si>
    <t>Behov opsamlingsammesøer</t>
  </si>
  <si>
    <t>Kuldudjævningsammeso</t>
  </si>
  <si>
    <t>Almindelig so</t>
  </si>
  <si>
    <t>Efternøler ammso</t>
  </si>
  <si>
    <t>Opsamlingsammeso</t>
  </si>
  <si>
    <t>Kuldudjævningsammeso, andet kuld</t>
  </si>
  <si>
    <t>17-20</t>
  </si>
  <si>
    <t>Hældning</t>
  </si>
  <si>
    <t>Alder ved afgang/måling</t>
  </si>
  <si>
    <t>JA/NEJ</t>
  </si>
  <si>
    <t>FEsv/kg pattegrisetilvækst</t>
  </si>
  <si>
    <t>Azain 1996 vinter</t>
  </si>
  <si>
    <t>Theil et. Al. (ikke publiceret)</t>
  </si>
  <si>
    <t>Theil et. Al. 2002</t>
  </si>
  <si>
    <t>Theil et. Al. 2007</t>
  </si>
  <si>
    <t>Novotni et al.  2015 (median af 4 konc. mælk)</t>
  </si>
  <si>
    <t>Noblet et. Al. 1987</t>
  </si>
  <si>
    <t>Sum</t>
  </si>
  <si>
    <t>Nobet et. Al. 1986, HI</t>
  </si>
  <si>
    <t>Nobet et. Al. 1986, Low</t>
  </si>
  <si>
    <t>Wolter et. Al 2002</t>
  </si>
  <si>
    <t>10-13</t>
  </si>
  <si>
    <t>Novotni 10,7% pulver/liter vand</t>
  </si>
  <si>
    <t>Novotni 13% pulver/liter vand</t>
  </si>
  <si>
    <t>Novotni 14,5% pulver/liter vand</t>
  </si>
  <si>
    <t>Novotni 16,6% pulver/liter vand</t>
  </si>
  <si>
    <t xml:space="preserve"> 100 % mælkeerstatning, supplerende eller somælk</t>
  </si>
  <si>
    <t>Fravænninger per farekuld</t>
  </si>
  <si>
    <t>Soens diegivning per hændelse</t>
  </si>
  <si>
    <t xml:space="preserve">2. Diegivningsperiode som ammeso </t>
  </si>
  <si>
    <t>3. Diegivningsperiode som opsamlingsammeso</t>
  </si>
  <si>
    <t>Ad 1 grisens fravænningalder almindelig</t>
  </si>
  <si>
    <t>Ad 4 grisens fravænningsalder hvis den er efternøler</t>
  </si>
  <si>
    <t>Ad 3 grisens fravænningsalder fra en opsamlingsammeso</t>
  </si>
  <si>
    <t>Beregning kuldudjævningsammesøer</t>
  </si>
  <si>
    <t>Diegivningsperiode per farekuld</t>
  </si>
  <si>
    <t>Estimeret gennemsnitlig fravænningsalder grise</t>
  </si>
  <si>
    <t>Mælkekoppeanlæg i beregningerne</t>
  </si>
  <si>
    <t>Konstanter uanset mælkekopper eller ej</t>
  </si>
  <si>
    <t>Grise døde inden kuldudjævning (både med og uden mælkekopper)</t>
  </si>
  <si>
    <t>Pattegrise tilbage før kuldudjævning</t>
  </si>
  <si>
    <t>Angiv i % hvormange af disse grise som flyttes (og dermed reddes)</t>
  </si>
  <si>
    <t>Grise ved soen hvis opsamlingsammeso</t>
  </si>
  <si>
    <t>Flyttet og reddet</t>
  </si>
  <si>
    <t>Opsamlingsammesøer per farekuld</t>
  </si>
  <si>
    <t>Døde pattegrise per farekuld</t>
  </si>
  <si>
    <t>Fravænningsblanding</t>
  </si>
  <si>
    <t>Pris per Fesv</t>
  </si>
  <si>
    <t>Liter/dag</t>
  </si>
  <si>
    <t>kr./årsso</t>
  </si>
  <si>
    <t>Pris per 7 kg basis</t>
  </si>
  <si>
    <t>Pris per 30 kg basis</t>
  </si>
  <si>
    <t xml:space="preserve">Til </t>
  </si>
  <si>
    <t>Kg regulering</t>
  </si>
  <si>
    <t>Beregnet sofoderforbrug</t>
  </si>
  <si>
    <t>Sofoder til somælk</t>
  </si>
  <si>
    <t>Sofoder til foster produktion</t>
  </si>
  <si>
    <t>FEso per årsso</t>
  </si>
  <si>
    <t>Indlagt foderspild</t>
  </si>
  <si>
    <t>Somælk som går til basal metabolisme pattegrise</t>
  </si>
  <si>
    <t>Pattegrisedødelighed per farekuld</t>
  </si>
  <si>
    <t>Fravænnede grise per farekuld</t>
  </si>
  <si>
    <t>Mælkeerstatning</t>
  </si>
  <si>
    <t>Startmælkeerstatning</t>
  </si>
  <si>
    <t>Fra dag</t>
  </si>
  <si>
    <t>Til dag</t>
  </si>
  <si>
    <t>Gns. fødelsvægt</t>
  </si>
  <si>
    <t>Sofoder die</t>
  </si>
  <si>
    <t>Sofoder dr.</t>
  </si>
  <si>
    <t>Estimeret fravænningsvægt på somælk, kg pattegris</t>
  </si>
  <si>
    <t>Slut mælkeerstatning</t>
  </si>
  <si>
    <t>Start mælkeerstatning</t>
  </si>
  <si>
    <t>FEsv/kg pulver</t>
  </si>
  <si>
    <t>Pris per kg</t>
  </si>
  <si>
    <t>Pris/FEsv</t>
  </si>
  <si>
    <t>Konstant</t>
  </si>
  <si>
    <t>Tilvækst på Mælkeerstatning alene model</t>
  </si>
  <si>
    <t>Akkumuleret kg</t>
  </si>
  <si>
    <t>Sofoder til basal vedligehold so</t>
  </si>
  <si>
    <t>Sofoder til almindelig kg tilvækst som funktion af kuldnummer</t>
  </si>
  <si>
    <t>Skøn af foder til somælk som må pålægges i løbe-drægtighedstiden</t>
  </si>
  <si>
    <t>A er en faktor som ligger mellem 18-30 ifølge kilde, som funktion af soens genotype. Programmet korrigerer for flere end 12 grise ved soen</t>
  </si>
  <si>
    <t>Soens mælkeydelse</t>
  </si>
  <si>
    <t>Da det er meget besætningsspecifikt hvordan søers samlede diegivningsperiode er skruet sammen bruges kun gns.</t>
  </si>
  <si>
    <t>Estimat for forbrug slutpulver årsso</t>
  </si>
  <si>
    <t>Gram pulver/dag/gris/lav</t>
  </si>
  <si>
    <t>Gram pulver/dag/gris/høj</t>
  </si>
  <si>
    <t>Estimat for forbrug startpulver per årsso, kg per år</t>
  </si>
  <si>
    <t>I gram per fravænnet gris</t>
  </si>
  <si>
    <t>Gns. pattegrise ved søer i hele perioden</t>
  </si>
  <si>
    <t>Tilvækst på mælkeerstatning alene er baseret på meget få interpolationer, og stiger nok mere til sidst som funktion af grisens alder</t>
  </si>
  <si>
    <t>Ekstra tilvækst kg/gris ved supplerende ME</t>
  </si>
  <si>
    <t>Azain 1996 sommer (lav mælkeydelse søer)</t>
  </si>
  <si>
    <t>Ændret pattegrise dødelighed</t>
  </si>
  <si>
    <t>Max. Pris</t>
  </si>
  <si>
    <t>Smågriseblanding 3</t>
  </si>
  <si>
    <t xml:space="preserve">4. Opsamlingsammeso ved normal fravænning  </t>
  </si>
  <si>
    <t>Slutblanding i gram/fravænnet gris</t>
  </si>
  <si>
    <t>Farekuld almindelig socyklus</t>
  </si>
  <si>
    <t>Kg tilvækst alene på pulver</t>
  </si>
  <si>
    <t>Fravænnede per fravænning</t>
  </si>
  <si>
    <t>FEsodie/liter somælk</t>
  </si>
  <si>
    <t>kg/so/kuld</t>
  </si>
  <si>
    <t>1,05-1,2</t>
  </si>
  <si>
    <t xml:space="preserve">Interval </t>
  </si>
  <si>
    <t>Smågrise pris tabel</t>
  </si>
  <si>
    <t>Pattegrisedødelighed i besætning før ammesostrategi</t>
  </si>
  <si>
    <t>Døde grise af andre årsager ind sult per farekuld</t>
  </si>
  <si>
    <t xml:space="preserve">Behov opsamlingsammeso ved normal fravænning </t>
  </si>
  <si>
    <t>Her indlægges korrektioner for grise som ikke spiser ME samt foderspild</t>
  </si>
  <si>
    <t>Forsimplet antages det at soen står for alle grises basal behov, derfor lavt estimat for Kg tilvækst på mælkeerstatning</t>
  </si>
  <si>
    <t>Kg tilvækst på start</t>
  </si>
  <si>
    <t>Kg tilvækst på slut</t>
  </si>
  <si>
    <t>Estimater for forbrug af ME per so/år bruges til omkostning kalkule</t>
  </si>
  <si>
    <t>Estimeret påvirkning fravænningsvægt ME</t>
  </si>
  <si>
    <t>Marginal påvirkning fravæningsvægt Mælkeerstatning</t>
  </si>
  <si>
    <t>Levendefødte per kuld</t>
  </si>
  <si>
    <t>Salgsvægt ved fravænning</t>
  </si>
  <si>
    <t>Ekstra investering</t>
  </si>
  <si>
    <t>Sofoderforbrug per årsso, eksklusiv polte</t>
  </si>
  <si>
    <t>Estimeret arbejdstidsforbrug per årsso, timer</t>
  </si>
  <si>
    <t>Startblandingspulver i kg per årsso</t>
  </si>
  <si>
    <t>Pasning mælkekoppeanlæg, kr./bedrift</t>
  </si>
  <si>
    <t>Estimeret pattegrisedødelighed i %</t>
  </si>
  <si>
    <t>Arbejdstid per farekuld</t>
  </si>
  <si>
    <t>Arbejdstid drægtighedsstalde</t>
  </si>
  <si>
    <t>Indtægt per årsso</t>
  </si>
  <si>
    <t>Omkostning sofoder</t>
  </si>
  <si>
    <t>Omkostning mælkeerstatning pulver</t>
  </si>
  <si>
    <t>Årlig kapitalomkostning mælkekoppeanlæg</t>
  </si>
  <si>
    <t>Økonomiske forudsætninger til og med fravænning</t>
  </si>
  <si>
    <t>Smågrise kalkule</t>
  </si>
  <si>
    <t>% af smågrise beholdt ved fravænning</t>
  </si>
  <si>
    <t>Dgl tilvækst 7-30 kg</t>
  </si>
  <si>
    <t>Fesv 7-30 kg</t>
  </si>
  <si>
    <t xml:space="preserve">Indsættelsesvægt </t>
  </si>
  <si>
    <t>Foderdage per smågris</t>
  </si>
  <si>
    <t>Salgsvægt</t>
  </si>
  <si>
    <t>Dødelighed</t>
  </si>
  <si>
    <t>Vægtkonstant G</t>
  </si>
  <si>
    <t>LN til vægtkonstant Gompertz</t>
  </si>
  <si>
    <t>Kg tilvækst på smågriseblandinger</t>
  </si>
  <si>
    <t>Estimeret FEsv/kg tilvækst</t>
  </si>
  <si>
    <t>Middelvægt</t>
  </si>
  <si>
    <t>Vægtet smågrisefoderpris FEsv</t>
  </si>
  <si>
    <t>1. Almindeligt diegivningperiode, (bør være 26 eller 33 dage ved sektioneret holddrift, eventuelt +/- det løse)</t>
  </si>
  <si>
    <t>Soens gennemsnitlige årlige mælkeydelse, liter somælk/år</t>
  </si>
  <si>
    <t>Konstant for  søer mælkeydelse per dag (17-30 besætningsafhængig)</t>
  </si>
  <si>
    <t>Niveau: Gns. ydelse soliter per dag ved 26 dages laktation</t>
  </si>
  <si>
    <t>Øget mælkeydelse op til 14 grise ved soen (starter fra 12 grise)</t>
  </si>
  <si>
    <t>Tillæg/fradrag per solgt gris</t>
  </si>
  <si>
    <t>Ændring i årssøer som følge af mælkerstatningsanlæg</t>
  </si>
  <si>
    <t>Foderomkostning per solgt gris</t>
  </si>
  <si>
    <t>Solgte smågrise</t>
  </si>
  <si>
    <t>Dødelighed i pct.</t>
  </si>
  <si>
    <t>Uden mælkekopper</t>
  </si>
  <si>
    <t>Med mælkekopper</t>
  </si>
  <si>
    <t>Forskel</t>
  </si>
  <si>
    <t>Forudsætninger søer</t>
  </si>
  <si>
    <t>kr/gris</t>
  </si>
  <si>
    <t>timer/kuld</t>
  </si>
  <si>
    <t>Besætningsoplysninger</t>
  </si>
  <si>
    <t>Vis</t>
  </si>
  <si>
    <t>Tekst</t>
  </si>
  <si>
    <t>Tekst 6</t>
  </si>
  <si>
    <t>Hvis man gerne vil kigge på øvrige forudsætninger så brug celle a 247 og marker alt</t>
  </si>
  <si>
    <t>Behov for pattegrise flytninger hvis de skal overleve per kuld efter kuldudjævning</t>
  </si>
  <si>
    <t>Valgt</t>
  </si>
  <si>
    <t>Startblanding i gram/fravænnet gris</t>
  </si>
  <si>
    <t>I alt gram/fravænnet</t>
  </si>
  <si>
    <t>Følgende tabel er lavet udfra kilde, men foderenheder er udregnet efter det danske fodervurderingssystem via egne beregninger</t>
  </si>
  <si>
    <t>timer/ammeso lavet</t>
  </si>
  <si>
    <t>Grise døde efter kuldudjævning af andre årsager end sult</t>
  </si>
  <si>
    <t>Priser bør være langsigtede ved investeringskalkuler her dog 2017 prognosen</t>
  </si>
  <si>
    <t>Tilvækst per socyklus, vægtab farestald eksklusiv, kg/kuld (målt ved indgang løbestald)</t>
  </si>
  <si>
    <t>I alt foder per årsso</t>
  </si>
  <si>
    <t>Salgspris smågrise før tillæg</t>
  </si>
  <si>
    <t>Beregn smågrisepris ved given vægt</t>
  </si>
  <si>
    <t xml:space="preserve">Estimat for grise som spiser mælkeerstatning </t>
  </si>
  <si>
    <t>kr./faresti</t>
  </si>
  <si>
    <t>Blandingsforhold</t>
  </si>
  <si>
    <t>Ad 2 grisens fravænningsalder kuldudjævningsammeso (1 kuld)</t>
  </si>
  <si>
    <t>Maksimalt grise ved soen før dødelighed påvirkes, før mælkeerstatning</t>
  </si>
  <si>
    <t>Hvis et kuldstørrelsen låses efter fødsel og der ikke laves opsamlingsammesøer er den generelle erfaring i udland og Dk, at pattegrisedødeligeheden reduceres ved at bruge mælkeerstatning</t>
  </si>
  <si>
    <t>Pris per kwh til opvarmning af vand</t>
  </si>
  <si>
    <t>Andre forudsætninger på besætningsnievau</t>
  </si>
  <si>
    <t>Fravænnede per farekuld</t>
  </si>
  <si>
    <t>Fravænningsvægt som følge af somælk</t>
  </si>
  <si>
    <t>Akk. liter per diegivning</t>
  </si>
  <si>
    <t>kr./timen</t>
  </si>
  <si>
    <t>Forskel Med-Uden</t>
  </si>
  <si>
    <t>Temparatur på vand ved iblanding pulver</t>
  </si>
  <si>
    <t>grader/celsius</t>
  </si>
  <si>
    <t>Strømforbrug per 1000 liter mælkeerstatning pumpet ud</t>
  </si>
  <si>
    <t>kwh/1000 liter</t>
  </si>
  <si>
    <t>kr/kwh</t>
  </si>
  <si>
    <t xml:space="preserve">Brug af desinfektionsmidler </t>
  </si>
  <si>
    <t>kr./faresti/år</t>
  </si>
  <si>
    <t>Kalkulationsrente</t>
  </si>
  <si>
    <t>Note: Generelt små forsøg. Forsøg/kontrol mht. forskel i tilvækst bliver stærk påvirket af soens mælkeydelse som der er pæn spredning på normalt. Derfor kræver ordentlige forsøg mange gentagelser med op til ca. 120 farekuld. Ovenstående forsøg er på få kuld, Novotni f.esk kun på 30 søer per gruppe</t>
  </si>
  <si>
    <t>Forbrug varmt vand per årsso</t>
  </si>
  <si>
    <t>Desinfektionsmilder mælkekop anlæg</t>
  </si>
  <si>
    <t>Øvrig arbejdsløn</t>
  </si>
  <si>
    <t>Opvarmning brugsvand mælkeerstatning</t>
  </si>
  <si>
    <t>Mængde sendt i cirkulation</t>
  </si>
  <si>
    <t>Kalkule på de resterende grise efter kuldudjævning</t>
  </si>
  <si>
    <t>Døde grise af andre årsager ind sult per kuld efter kuldudjævning</t>
  </si>
  <si>
    <t>Estimater for besætningens behov/brug af opsamlingsammesøer hændelser efter kuldudjævning</t>
  </si>
  <si>
    <t>Korrektion for behov flytninger ved mælkeerstatning til opsamlingsammesøer</t>
  </si>
  <si>
    <t>vægt ved 26 dage</t>
  </si>
  <si>
    <t>Diegivningsdage per kuld</t>
  </si>
  <si>
    <t>Øvrige styk og kapacitetomkostninger per gris</t>
  </si>
  <si>
    <t>Løn per solgt</t>
  </si>
  <si>
    <t>Økonomi smågrise</t>
  </si>
  <si>
    <t>Levetid i år, inkluderer vedligehold</t>
  </si>
  <si>
    <t>Pumpe type</t>
  </si>
  <si>
    <t>Centrifugalpumpe</t>
  </si>
  <si>
    <t>Øvrige diverse styk- og kontante kapacitets omkostninger per årsso</t>
  </si>
  <si>
    <t>Grise ved soen ved fravænning</t>
  </si>
  <si>
    <t>http://vsp.lf.dk/Aktuelt/Noteringer/Beregn%20smaagrisepris.aspx</t>
  </si>
  <si>
    <t>Input til smågrisepriser. Tillæg/fradrag styres i de enkelte regneark</t>
  </si>
  <si>
    <t>Eksempel</t>
  </si>
  <si>
    <t>Smågrise pris tabel, klarer kg reguleirng</t>
  </si>
  <si>
    <t>Tillæg/fradrag per fravænnet gris</t>
  </si>
  <si>
    <t>FEsv mælkeerstatning per kg aflejret pattegris som ren tilvækst på ME, inkl. dækning basal behov</t>
  </si>
  <si>
    <t>Omkostning til pasning mælkeerstatningsanlæg kr. årsso</t>
  </si>
  <si>
    <t>Salgspris/overførselspris ifølge beregnet smågrisenotering</t>
  </si>
  <si>
    <t>kg tilvækst som supplement til somælk</t>
  </si>
  <si>
    <t>Startblanding Forbrug i gram/fravænnet</t>
  </si>
  <si>
    <t>Slutblanding Forbrug i gram/fravænnet</t>
  </si>
  <si>
    <t>Behov somælk til basal metabolisme per dag per pattegris</t>
  </si>
  <si>
    <t>Pris per kg startblanding</t>
  </si>
  <si>
    <t>Pris per kg slutblanding</t>
  </si>
  <si>
    <t>Priser Mælkerstatnings anlæg og forbrug</t>
  </si>
  <si>
    <t>FEsv/kg i startblanding</t>
  </si>
  <si>
    <t>FEsv/kg i slutblandning</t>
  </si>
  <si>
    <t>Kort vejledning</t>
  </si>
  <si>
    <t>Model output</t>
  </si>
  <si>
    <t>Estimat for grise som bør til flyttes til opsamingsammeeso for at overleve (får for lidt energi fra somælk)</t>
  </si>
  <si>
    <t>Døde pattegrise inden kuldudjævning (% af levendefødte)</t>
  </si>
  <si>
    <t>Antal grise ved soen efter kuldudjævning</t>
  </si>
  <si>
    <t>Opsamlingsammesøer i % af fravænnede kuld</t>
  </si>
  <si>
    <t>Behov for kuldudjævningsammesøer per farekud</t>
  </si>
  <si>
    <t>Mælkeerstatning oplysninger</t>
  </si>
  <si>
    <t>Drægtighedsblanding pris i kr./FEso</t>
  </si>
  <si>
    <t>Diegivningsblanding pris i kr./FEso</t>
  </si>
  <si>
    <t>El omkostning  til cirkulation ME</t>
  </si>
  <si>
    <t>Vki gompertz (7-30 kg)</t>
  </si>
  <si>
    <t>Økonomi per årsso og på bedriftsniveau (EBID, bortset fra mælkekopanlæg)</t>
  </si>
  <si>
    <t>Marginal påvirkning fravænningsvægt mælkeerstatning</t>
  </si>
  <si>
    <t>Arbejdstid i timer per opsamlingsammeso (1 trin er nok)</t>
  </si>
  <si>
    <t>Arbejdstid i timer per kuldudjævningsammeso (2 trins ammeso anbefales)</t>
  </si>
  <si>
    <t>Estimeret arbejdstidforbrug i timer per årsso udover pasning Mælkekopanlæg</t>
  </si>
  <si>
    <t>Løn i timen</t>
  </si>
  <si>
    <t xml:space="preserve">I alt salgspris/overførsels pris </t>
  </si>
  <si>
    <t xml:space="preserve">Egne input som overføres til model. Model beregninger kan overskrives </t>
  </si>
  <si>
    <t>Diegivningsdage per årsso (info)</t>
  </si>
  <si>
    <t>FEsv ME/kg pattegrisetilvækst ved suppl. Til somælk</t>
  </si>
  <si>
    <t>FEsv/kg  tilvækst på ren mælkeerstatning (ingen somælk)</t>
  </si>
  <si>
    <t>FEsv/kg pattegrisetilvækst på somælk alene</t>
  </si>
  <si>
    <t>Output søer og kontanter i model</t>
  </si>
  <si>
    <t>Priser bør være langsigtede ved investeringskalkuler her dog 2017 prognosen. Priser kan overskrives men er overført fra selvstændigt ark</t>
  </si>
  <si>
    <t>Smågrisestalde</t>
  </si>
  <si>
    <t>Følgende er besætningsfodrings strategi for fravænnede grise. Forbrug udregnes automatisk afhængigt af ind og afgangsvægt</t>
  </si>
  <si>
    <t>Smågrise oplysninger</t>
  </si>
  <si>
    <t>Blandingsforhold og spild. Priser og energiindhold overført</t>
  </si>
  <si>
    <t xml:space="preserve">Programmet regner forbruget ud, baseret på indlagte standardardiserede nøgletal. </t>
  </si>
  <si>
    <t>ok</t>
  </si>
  <si>
    <t>Indsatte smågrise stk. år</t>
  </si>
  <si>
    <t>Arbejsdstid i minutter per uge til tilsyn</t>
  </si>
  <si>
    <t>Minutter/smågris</t>
  </si>
  <si>
    <t>Minutter/smågris/uge</t>
  </si>
  <si>
    <t>Arbejdsindsats minutter per smågris</t>
  </si>
  <si>
    <t>Forbrug i FEsv ifølge kalkuler</t>
  </si>
  <si>
    <t>Salgsindtægt per solgt ifølge beregnet smågrisenotering</t>
  </si>
  <si>
    <t xml:space="preserve">Smågrise omkostning per solgt </t>
  </si>
  <si>
    <t>Arbejdsløn i timen smågrise stalde</t>
  </si>
  <si>
    <t>Resultat kalkule per solgt smågris (EBID)</t>
  </si>
  <si>
    <t>Resultatkalkule EBID på smågrisebedriften</t>
  </si>
  <si>
    <t>Konklusion</t>
  </si>
  <si>
    <t>EBID bedrifts søer</t>
  </si>
  <si>
    <t>EBID smågrisebedrift</t>
  </si>
  <si>
    <t>Summeret forskel på bedrift</t>
  </si>
  <si>
    <t>Soens mælkeydelse på en skala fra 17-30; 26 norm</t>
  </si>
  <si>
    <t>Estimeret Feso/årsso (eksklusiv poltefoder som ikke indgår i model)</t>
  </si>
  <si>
    <t>Arbejdsstid i minutter per indsat (til rengøring og flytning)</t>
  </si>
  <si>
    <t>Farestaldudnyttelse diegivningsdage/dage i alt (Norm 74-79)</t>
  </si>
  <si>
    <t>Farestaldsudnyttelse til diegivningsdage i % (norm mellem 74-79 %)</t>
  </si>
  <si>
    <t>Sådan regner progammet</t>
  </si>
  <si>
    <t>Resultat kalkule per årsso (EBID)</t>
  </si>
  <si>
    <t>Bedrifts resultat (EBID)</t>
  </si>
  <si>
    <t xml:space="preserve">Behov for kuldudjævningsammesøer i % </t>
  </si>
  <si>
    <t>FEsv mælkeerstatning per kg aflejret pattegris som supplement, eksklusiv basal behov pattegris</t>
  </si>
  <si>
    <t>Modellens prediktion af forbrug af Mælkeerstatning (ME)</t>
  </si>
  <si>
    <t>EBID = Indtjening før renter og afskrivninger på staldanlæg, men efter at kapitalomkostning mælkekopanlægget</t>
  </si>
  <si>
    <t>Omkostninger:</t>
  </si>
  <si>
    <t>Effekter:</t>
  </si>
  <si>
    <t>Mulige positive effekter af brug af mælkekopper er bergnet i en model, som er baseret på dansk og international litteratur</t>
  </si>
  <si>
    <r>
      <rPr>
        <b/>
        <sz val="10"/>
        <rFont val="Arial"/>
        <family val="2"/>
      </rPr>
      <t>Ansvarsfraskrivelse</t>
    </r>
    <r>
      <rPr>
        <sz val="10"/>
        <rFont val="Arial"/>
        <family val="2"/>
      </rPr>
      <t xml:space="preserve">: </t>
    </r>
  </si>
  <si>
    <t>SEGES påtager sig intet ansvar for resultaterne ved anvendelse af dette program. SEGES er således ikke ansvarlig for hverken direkte eller indirekte tab, som brugere måtte lide ved at disponere  på baggrund af tal og beregninger fra programmet.</t>
  </si>
  <si>
    <t>Modellen reagerer på "egne input". Parametre i model kan rettes af rutinerede brugere</t>
  </si>
  <si>
    <t>Sådan gør du:</t>
  </si>
  <si>
    <t>Hvis der er forskel i antal årssøer med og uden mælkekopper bør alle omkostninger per årsso tages med. Øvrige styk og kapacitetsomkostninger er fra beregnet smågrisenotering, og medtager alle omkostninger undtagen vedligehold samt rente - og afkrivninger på so og smågrisetalde som forudsættes ens uanset mælkekopper eller ej. Investering i mælkekopper tages særskilt og skal tages med.</t>
  </si>
  <si>
    <t>Pattegrise i %, som reddes via flytning til en opsamlingsammeso (se model, der dør også grise af andre årsager end sult)</t>
  </si>
  <si>
    <t>Pasning mælkekopanlæg (arbejdsløn)</t>
  </si>
  <si>
    <t>Omkostning mælkekopanlæg per faresti</t>
  </si>
  <si>
    <t>Tilvækst konstant for "grise som vokser alene på mælkeerstatning" = se facit nede under</t>
  </si>
  <si>
    <t>Fravænningsvægt for grise som potentielt set vokser alene på mælkeerstatning ved 26 dage frav.</t>
  </si>
  <si>
    <t xml:space="preserve">Estimat for grise som drikker mælkerstatning i %. </t>
  </si>
  <si>
    <t>Estimeret foderspild mælkeerstatning</t>
  </si>
  <si>
    <t>Fra somælk til foderinput</t>
  </si>
  <si>
    <t>Drægtighedslængde i dage</t>
  </si>
  <si>
    <t>Uden ME</t>
  </si>
  <si>
    <t>Med ME</t>
  </si>
  <si>
    <t>Seges konstant, kan dog være besætningsafhængig</t>
  </si>
  <si>
    <t>FEsv somælk per kg aflejret, eksklusiv basal energibehov pattegris</t>
  </si>
  <si>
    <t>Grøne celler med fed skift overfører estimater. Kan overskrives hvis gule input ikke giver det forventede resultat. Så regner programmet økonomi videre med dette input</t>
  </si>
  <si>
    <t>Gule celler må overskrives med egne input</t>
  </si>
  <si>
    <t>Orange celler tager som udgangspunkt samme input som uden mælkekopper, hvis det menes at en pametre påvirkes</t>
  </si>
  <si>
    <t>Normtal med angivet effektivitet, drægtighedsblanding per årsso i FEso</t>
  </si>
  <si>
    <t>Normtal med angivet effektivitet for diegivningsblandning per årsso i FEso</t>
  </si>
  <si>
    <t>Model beregnet Pattegrisedødelighed i %</t>
  </si>
  <si>
    <t xml:space="preserve">Døde pattegrise i % efter kuldudjævning som dør af andre årsager ind "sult" </t>
  </si>
  <si>
    <t xml:space="preserve">Som udgangspunkt forventes der ikke forskelle i de standardiserede nøgletal 7-30 kg for FEsv/kg og daglig tilvækst med og uden ME. </t>
  </si>
  <si>
    <t>Her tages der udgangspunkt i at dgl. tilvækst 7-30 kg og FEsv per kg tilvækst (7-30 kg) er ens som default, men det kan bruger lave om.</t>
  </si>
  <si>
    <t>1,05-1,5</t>
  </si>
  <si>
    <t>Beregner</t>
  </si>
  <si>
    <t>For</t>
  </si>
  <si>
    <t>Ønsket normal frav. alder på grise (kan sættes op ved kontinuert drift, se farestaldsudnyttelse række 35)</t>
  </si>
  <si>
    <t>MGC@seges.dk</t>
  </si>
  <si>
    <t>L.L</t>
  </si>
  <si>
    <t>Start blanding</t>
  </si>
  <si>
    <t>Slut bladning</t>
  </si>
  <si>
    <t xml:space="preserve">Mælkeerstatningsmanagement </t>
  </si>
  <si>
    <t>Priser på smågrise</t>
  </si>
  <si>
    <t>Mælkekops anlæg's anslåede levetid er ca. 8 år. I teorien skulle det være smågrisepriser på mellemlang sigt som derfor skal benyttes, men så langsigtede prognoser findes ikke. I arket "Beregnet smågrisenotering" kan der indlægges de priser programmet regner med. Derudover kan man selv regulerer +/- tillæg per gris</t>
  </si>
  <si>
    <t>Via følgende link kan "egen" prognose laves, hvis man kender fremtidens foderpriser og dansk notering</t>
  </si>
  <si>
    <t>Hvis I kender omkostningerne til indkøb og drift af mælkekopanlægget, kan I lægge egne tal ind. Hvis ikke, så brug gerne de forudskrevne værdier baseret på publikation nr. 1708</t>
  </si>
  <si>
    <t>Mælkeerstatningsforbruget beregnes udfra kuldudjævningssstrategi og er baseret på erfaing</t>
  </si>
  <si>
    <t>Mælkeerstatningens indhold af energi er  baseret på publikation 1708, men der var produktforskelle så det typiske energiindhold er valgt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</si>
</sst>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_([$€-2]\ * #,##0.00_);_([$€-2]\ * \(#,##0.00\);_([$€-2]\ * &quot;-&quot;??_)"/>
    <numFmt numFmtId="168" formatCode="#,##0.0"/>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9"/>
      <color theme="1"/>
      <name val="Arial"/>
      <family val="2"/>
    </font>
    <font>
      <sz val="10"/>
      <name val="Arial"/>
      <family val="2"/>
    </font>
    <font>
      <sz val="10"/>
      <color theme="1"/>
      <name val="Arial"/>
      <family val="2"/>
    </font>
    <font>
      <sz val="11"/>
      <color theme="1"/>
      <name val="Calibri"/>
      <family val="2"/>
      <scheme val="minor"/>
    </font>
    <font>
      <sz val="11"/>
      <color rgb="FF3F3F76"/>
      <name val="Calibri"/>
      <family val="2"/>
      <scheme val="minor"/>
    </font>
    <font>
      <b/>
      <sz val="11"/>
      <color rgb="FFFA7D00"/>
      <name val="Calibri"/>
      <family val="2"/>
      <scheme val="minor"/>
    </font>
    <font>
      <b/>
      <sz val="11"/>
      <color rgb="FF3F3F3F"/>
      <name val="Calibri"/>
      <family val="2"/>
      <scheme val="minor"/>
    </font>
    <font>
      <i/>
      <sz val="11"/>
      <color rgb="FF7F7F7F"/>
      <name val="Calibri"/>
      <family val="2"/>
      <scheme val="minor"/>
    </font>
    <font>
      <sz val="11"/>
      <color rgb="FF1F497D"/>
      <name val="Calibri"/>
      <family val="2"/>
    </font>
    <font>
      <sz val="9"/>
      <color indexed="81"/>
      <name val="Tahoma"/>
      <family val="2"/>
    </font>
    <font>
      <b/>
      <sz val="9"/>
      <color indexed="81"/>
      <name val="Tahoma"/>
      <family val="2"/>
    </font>
    <font>
      <b/>
      <sz val="11"/>
      <name val="Calibri"/>
      <family val="2"/>
    </font>
    <font>
      <b/>
      <sz val="14"/>
      <name val="Arial"/>
      <family val="2"/>
    </font>
    <font>
      <sz val="14"/>
      <name val="Arial"/>
      <family val="2"/>
    </font>
    <font>
      <sz val="11"/>
      <name val="Calibri"/>
      <family val="2"/>
    </font>
    <font>
      <u/>
      <sz val="10"/>
      <color theme="10"/>
      <name val="Arial"/>
      <family val="2"/>
    </font>
    <font>
      <b/>
      <sz val="10"/>
      <color rgb="FF002060"/>
      <name val="Arial"/>
      <family val="2"/>
    </font>
    <font>
      <sz val="16"/>
      <name val="Arial"/>
      <family val="2"/>
    </font>
    <font>
      <sz val="20"/>
      <name val="Arial"/>
      <family val="2"/>
    </font>
    <font>
      <sz val="12"/>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rgb="FF00B050"/>
        <bgColor indexed="64"/>
      </patternFill>
    </fill>
    <fill>
      <patternFill patternType="solid">
        <fgColor rgb="FFFFC000"/>
        <bgColor indexed="64"/>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7">
    <xf numFmtId="0" fontId="0" fillId="0" borderId="0"/>
    <xf numFmtId="9" fontId="3" fillId="0" borderId="0" applyFont="0" applyFill="0" applyBorder="0" applyAlignment="0" applyProtection="0"/>
    <xf numFmtId="0" fontId="5" fillId="0" borderId="0"/>
    <xf numFmtId="9" fontId="5" fillId="0" borderId="0" applyFont="0" applyFill="0" applyBorder="0" applyAlignment="0" applyProtection="0"/>
    <xf numFmtId="0" fontId="3" fillId="0" borderId="0"/>
    <xf numFmtId="167" fontId="3" fillId="0" borderId="0" applyFont="0" applyFill="0" applyBorder="0" applyAlignment="0" applyProtection="0"/>
    <xf numFmtId="9" fontId="6" fillId="0" borderId="0" applyFont="0" applyFill="0" applyBorder="0" applyAlignment="0" applyProtection="0"/>
    <xf numFmtId="0" fontId="7" fillId="0" borderId="0"/>
    <xf numFmtId="0" fontId="8" fillId="0" borderId="0"/>
    <xf numFmtId="0" fontId="8" fillId="6" borderId="13" applyNumberFormat="0" applyFont="0" applyAlignment="0" applyProtection="0"/>
    <xf numFmtId="0" fontId="9" fillId="4" borderId="11" applyNumberFormat="0" applyAlignment="0" applyProtection="0"/>
    <xf numFmtId="0" fontId="10" fillId="5" borderId="11" applyNumberFormat="0" applyAlignment="0" applyProtection="0"/>
    <xf numFmtId="0" fontId="11" fillId="5" borderId="12" applyNumberFormat="0" applyAlignment="0" applyProtection="0"/>
    <xf numFmtId="0" fontId="12" fillId="0" borderId="0" applyNumberFormat="0" applyFill="0" applyBorder="0" applyAlignment="0" applyProtection="0"/>
    <xf numFmtId="0" fontId="2" fillId="0" borderId="0"/>
    <xf numFmtId="0" fontId="1" fillId="0" borderId="0"/>
    <xf numFmtId="0" fontId="20" fillId="0" borderId="0" applyNumberFormat="0" applyFill="0" applyBorder="0" applyAlignment="0" applyProtection="0"/>
  </cellStyleXfs>
  <cellXfs count="269">
    <xf numFmtId="0" fontId="0" fillId="0" borderId="0" xfId="0"/>
    <xf numFmtId="164" fontId="0" fillId="0" borderId="0" xfId="1" applyNumberFormat="1" applyFont="1"/>
    <xf numFmtId="2" fontId="0" fillId="0" borderId="0" xfId="0" applyNumberFormat="1"/>
    <xf numFmtId="165" fontId="0" fillId="0" borderId="0" xfId="0" applyNumberFormat="1"/>
    <xf numFmtId="3" fontId="0" fillId="0" borderId="0" xfId="0" applyNumberFormat="1"/>
    <xf numFmtId="1" fontId="0" fillId="0" borderId="0" xfId="0" applyNumberFormat="1"/>
    <xf numFmtId="0" fontId="4" fillId="0" borderId="0" xfId="0" applyFont="1"/>
    <xf numFmtId="0" fontId="0" fillId="0" borderId="0" xfId="0" applyBorder="1"/>
    <xf numFmtId="0" fontId="0" fillId="0" borderId="4" xfId="0" applyBorder="1"/>
    <xf numFmtId="1" fontId="0" fillId="0" borderId="5" xfId="0" applyNumberFormat="1" applyBorder="1"/>
    <xf numFmtId="1" fontId="0" fillId="0" borderId="7" xfId="0" applyNumberFormat="1" applyBorder="1"/>
    <xf numFmtId="9" fontId="0" fillId="0" borderId="0" xfId="1" applyFont="1"/>
    <xf numFmtId="165" fontId="0" fillId="0" borderId="4" xfId="0" applyNumberFormat="1" applyBorder="1"/>
    <xf numFmtId="164" fontId="0" fillId="0" borderId="0" xfId="0" applyNumberFormat="1"/>
    <xf numFmtId="0" fontId="0" fillId="2" borderId="0" xfId="0" applyFill="1"/>
    <xf numFmtId="9" fontId="0" fillId="2" borderId="0" xfId="0" applyNumberFormat="1" applyFill="1"/>
    <xf numFmtId="9" fontId="0" fillId="0" borderId="0" xfId="0" applyNumberFormat="1"/>
    <xf numFmtId="165" fontId="0" fillId="2" borderId="0" xfId="0" applyNumberFormat="1" applyFill="1"/>
    <xf numFmtId="0" fontId="0" fillId="0" borderId="0" xfId="0" applyAlignment="1">
      <alignment vertical="center" wrapText="1"/>
    </xf>
    <xf numFmtId="166" fontId="0" fillId="0" borderId="0" xfId="0" applyNumberFormat="1"/>
    <xf numFmtId="0" fontId="0" fillId="0" borderId="0" xfId="0" applyFill="1" applyBorder="1"/>
    <xf numFmtId="0" fontId="0" fillId="0" borderId="2" xfId="0" applyBorder="1"/>
    <xf numFmtId="0" fontId="0" fillId="0" borderId="9" xfId="0" applyBorder="1"/>
    <xf numFmtId="2" fontId="0" fillId="0" borderId="0" xfId="0" applyNumberFormat="1" applyBorder="1"/>
    <xf numFmtId="165" fontId="0" fillId="0" borderId="0" xfId="0" applyNumberFormat="1" applyBorder="1"/>
    <xf numFmtId="165" fontId="0" fillId="0" borderId="1" xfId="0" applyNumberFormat="1" applyBorder="1"/>
    <xf numFmtId="0" fontId="3" fillId="0" borderId="0" xfId="0" applyFont="1"/>
    <xf numFmtId="2" fontId="0" fillId="3" borderId="0" xfId="0" applyNumberFormat="1" applyFill="1"/>
    <xf numFmtId="0" fontId="0" fillId="3" borderId="0" xfId="0" applyFill="1"/>
    <xf numFmtId="2" fontId="0" fillId="2" borderId="0" xfId="0" applyNumberFormat="1" applyFill="1"/>
    <xf numFmtId="2" fontId="3" fillId="0" borderId="0" xfId="0" applyNumberFormat="1" applyFont="1"/>
    <xf numFmtId="0" fontId="3" fillId="0" borderId="0" xfId="0" applyFont="1" applyAlignment="1">
      <alignment vertical="center" wrapText="1"/>
    </xf>
    <xf numFmtId="0" fontId="3" fillId="0" borderId="0" xfId="0" applyFont="1" applyBorder="1"/>
    <xf numFmtId="3" fontId="0" fillId="0" borderId="0" xfId="0" applyNumberFormat="1" applyBorder="1"/>
    <xf numFmtId="0" fontId="3" fillId="0" borderId="0" xfId="0" applyFont="1" applyFill="1" applyBorder="1"/>
    <xf numFmtId="1" fontId="3" fillId="0" borderId="0" xfId="0" applyNumberFormat="1" applyFont="1"/>
    <xf numFmtId="0" fontId="0" fillId="0" borderId="0" xfId="0" applyFont="1"/>
    <xf numFmtId="0" fontId="13" fillId="0" borderId="0" xfId="0" applyFont="1" applyAlignment="1">
      <alignment horizontal="left" vertical="center" indent="4"/>
    </xf>
    <xf numFmtId="17" fontId="3" fillId="0" borderId="0" xfId="0" applyNumberFormat="1" applyFont="1"/>
    <xf numFmtId="0" fontId="3" fillId="0" borderId="10" xfId="0" applyFont="1" applyBorder="1"/>
    <xf numFmtId="165" fontId="0" fillId="0" borderId="10" xfId="0" applyNumberFormat="1" applyBorder="1"/>
    <xf numFmtId="9" fontId="0" fillId="3" borderId="0" xfId="1" applyFont="1" applyFill="1"/>
    <xf numFmtId="164" fontId="13" fillId="0" borderId="0" xfId="0" applyNumberFormat="1" applyFont="1" applyAlignment="1">
      <alignment horizontal="left" vertical="center" indent="4"/>
    </xf>
    <xf numFmtId="165" fontId="13" fillId="0" borderId="0" xfId="0" applyNumberFormat="1" applyFont="1" applyAlignment="1">
      <alignment horizontal="left" vertical="center" indent="4"/>
    </xf>
    <xf numFmtId="0" fontId="4" fillId="0" borderId="0" xfId="0" applyFont="1" applyAlignment="1">
      <alignment horizontal="left"/>
    </xf>
    <xf numFmtId="2" fontId="13" fillId="0" borderId="0" xfId="0" applyNumberFormat="1" applyFont="1" applyAlignment="1">
      <alignment horizontal="left" vertical="center" indent="4"/>
    </xf>
    <xf numFmtId="164" fontId="0" fillId="0" borderId="10" xfId="0" applyNumberFormat="1" applyBorder="1"/>
    <xf numFmtId="1" fontId="0" fillId="3" borderId="0" xfId="0" applyNumberFormat="1" applyFill="1"/>
    <xf numFmtId="0" fontId="17" fillId="0" borderId="0" xfId="0" applyFont="1" applyAlignment="1">
      <alignment vertical="center" wrapText="1"/>
    </xf>
    <xf numFmtId="1" fontId="0" fillId="0" borderId="10" xfId="0" applyNumberFormat="1" applyBorder="1"/>
    <xf numFmtId="0" fontId="18" fillId="0" borderId="0" xfId="0" applyFont="1"/>
    <xf numFmtId="0" fontId="0" fillId="0" borderId="0" xfId="0"/>
    <xf numFmtId="165" fontId="0" fillId="0" borderId="0" xfId="0" applyNumberFormat="1" applyAlignment="1">
      <alignment horizontal="center"/>
    </xf>
    <xf numFmtId="0" fontId="17" fillId="0" borderId="0" xfId="0" applyFont="1"/>
    <xf numFmtId="0" fontId="3" fillId="0" borderId="3" xfId="0" applyFont="1" applyBorder="1"/>
    <xf numFmtId="165" fontId="0" fillId="0" borderId="6" xfId="0" applyNumberFormat="1" applyBorder="1"/>
    <xf numFmtId="2" fontId="0" fillId="2" borderId="0" xfId="0" applyNumberFormat="1" applyFill="1" applyBorder="1"/>
    <xf numFmtId="2" fontId="0" fillId="2" borderId="1" xfId="0" applyNumberFormat="1" applyFill="1" applyBorder="1"/>
    <xf numFmtId="0" fontId="4" fillId="0" borderId="0" xfId="0" applyFont="1" applyFill="1" applyBorder="1"/>
    <xf numFmtId="0" fontId="3" fillId="0" borderId="10" xfId="0" applyFont="1" applyFill="1" applyBorder="1"/>
    <xf numFmtId="1" fontId="0" fillId="2" borderId="0" xfId="0" applyNumberFormat="1" applyFill="1"/>
    <xf numFmtId="3" fontId="0" fillId="0" borderId="10" xfId="0" applyNumberFormat="1" applyBorder="1"/>
    <xf numFmtId="0" fontId="13" fillId="0" borderId="8" xfId="0" applyFont="1" applyBorder="1" applyAlignment="1">
      <alignment horizontal="left" vertical="center" indent="4"/>
    </xf>
    <xf numFmtId="0" fontId="0" fillId="2" borderId="8" xfId="0" applyFill="1" applyBorder="1"/>
    <xf numFmtId="0" fontId="13" fillId="0" borderId="0" xfId="0" applyFont="1" applyBorder="1" applyAlignment="1">
      <alignment horizontal="left" vertical="center" indent="4"/>
    </xf>
    <xf numFmtId="0" fontId="3" fillId="3" borderId="0" xfId="0" applyFont="1" applyFill="1" applyBorder="1"/>
    <xf numFmtId="0" fontId="0" fillId="0" borderId="10" xfId="0" applyBorder="1"/>
    <xf numFmtId="0" fontId="3" fillId="0" borderId="20" xfId="0" applyFont="1" applyBorder="1"/>
    <xf numFmtId="0" fontId="0" fillId="0" borderId="21" xfId="0" applyBorder="1"/>
    <xf numFmtId="0" fontId="0" fillId="0" borderId="21" xfId="0" applyFont="1" applyBorder="1"/>
    <xf numFmtId="0" fontId="3" fillId="0" borderId="19" xfId="0" applyFont="1" applyBorder="1"/>
    <xf numFmtId="0" fontId="3" fillId="0" borderId="18" xfId="0" applyFont="1" applyBorder="1"/>
    <xf numFmtId="0" fontId="3" fillId="0" borderId="16" xfId="0" applyFont="1" applyBorder="1"/>
    <xf numFmtId="9" fontId="0" fillId="2" borderId="14" xfId="0" applyNumberFormat="1" applyFill="1" applyBorder="1"/>
    <xf numFmtId="0" fontId="0" fillId="0" borderId="14" xfId="0" applyBorder="1"/>
    <xf numFmtId="0" fontId="0" fillId="0" borderId="15" xfId="0" applyBorder="1"/>
    <xf numFmtId="0" fontId="13"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2" fontId="0" fillId="2" borderId="17" xfId="0" applyNumberFormat="1" applyFill="1" applyBorder="1"/>
    <xf numFmtId="0" fontId="13" fillId="0" borderId="14" xfId="0" applyFont="1" applyBorder="1" applyAlignment="1">
      <alignment horizontal="left" vertical="center" indent="4"/>
    </xf>
    <xf numFmtId="0" fontId="0" fillId="2" borderId="14" xfId="0" applyFill="1" applyBorder="1"/>
    <xf numFmtId="2" fontId="0" fillId="2" borderId="15" xfId="0" applyNumberFormat="1" applyFill="1" applyBorder="1"/>
    <xf numFmtId="165" fontId="13" fillId="0" borderId="8" xfId="0" applyNumberFormat="1" applyFont="1" applyBorder="1" applyAlignment="1">
      <alignment horizontal="left" vertical="center" indent="4"/>
    </xf>
    <xf numFmtId="1" fontId="0" fillId="0" borderId="8" xfId="0" applyNumberFormat="1" applyBorder="1"/>
    <xf numFmtId="165" fontId="16" fillId="0" borderId="21" xfId="0" applyNumberFormat="1" applyFont="1" applyBorder="1" applyAlignment="1">
      <alignment vertical="center" wrapText="1"/>
    </xf>
    <xf numFmtId="0" fontId="4" fillId="0" borderId="21" xfId="0" applyFont="1" applyBorder="1" applyAlignment="1">
      <alignment vertical="center" wrapText="1"/>
    </xf>
    <xf numFmtId="1" fontId="0" fillId="0" borderId="17" xfId="0" applyNumberFormat="1" applyBorder="1"/>
    <xf numFmtId="1" fontId="13" fillId="0" borderId="14" xfId="0" applyNumberFormat="1" applyFont="1" applyBorder="1" applyAlignment="1">
      <alignment horizontal="left" vertical="center" indent="4"/>
    </xf>
    <xf numFmtId="1" fontId="0" fillId="0" borderId="14" xfId="0" applyNumberFormat="1" applyBorder="1"/>
    <xf numFmtId="1" fontId="0" fillId="0" borderId="15" xfId="0" applyNumberFormat="1" applyBorder="1"/>
    <xf numFmtId="0" fontId="4" fillId="0" borderId="20" xfId="0" applyFont="1" applyBorder="1" applyAlignment="1">
      <alignment vertical="center" wrapText="1"/>
    </xf>
    <xf numFmtId="0" fontId="4" fillId="0" borderId="19" xfId="0" applyFont="1" applyBorder="1" applyAlignment="1">
      <alignment vertical="center" wrapText="1"/>
    </xf>
    <xf numFmtId="2" fontId="4" fillId="0" borderId="0" xfId="0" applyNumberFormat="1" applyFont="1" applyAlignment="1">
      <alignment vertical="center" wrapText="1"/>
    </xf>
    <xf numFmtId="0" fontId="0" fillId="0" borderId="8" xfId="0" applyBorder="1"/>
    <xf numFmtId="0" fontId="3" fillId="0" borderId="8" xfId="0" applyFont="1" applyBorder="1" applyAlignment="1">
      <alignment vertical="center" wrapText="1"/>
    </xf>
    <xf numFmtId="0" fontId="0" fillId="0" borderId="8" xfId="0" applyBorder="1" applyAlignment="1">
      <alignment vertical="center" wrapText="1"/>
    </xf>
    <xf numFmtId="9" fontId="0" fillId="0" borderId="8" xfId="0" applyNumberFormat="1" applyBorder="1"/>
    <xf numFmtId="2" fontId="0" fillId="0" borderId="8" xfId="0" applyNumberFormat="1" applyBorder="1"/>
    <xf numFmtId="0" fontId="0" fillId="0" borderId="8" xfId="0" applyBorder="1" applyAlignment="1">
      <alignment horizontal="center"/>
    </xf>
    <xf numFmtId="17" fontId="0" fillId="0" borderId="8" xfId="0" applyNumberFormat="1" applyBorder="1" applyAlignment="1">
      <alignment horizontal="center"/>
    </xf>
    <xf numFmtId="0" fontId="3" fillId="0" borderId="8" xfId="0" applyFont="1" applyBorder="1" applyAlignment="1">
      <alignment horizontal="center"/>
    </xf>
    <xf numFmtId="0" fontId="3" fillId="0" borderId="8" xfId="0" applyFont="1" applyBorder="1"/>
    <xf numFmtId="165" fontId="0" fillId="0" borderId="8" xfId="0" applyNumberFormat="1" applyBorder="1" applyAlignment="1">
      <alignment horizontal="center"/>
    </xf>
    <xf numFmtId="3" fontId="19" fillId="2" borderId="0" xfId="0" applyNumberFormat="1" applyFont="1" applyFill="1" applyAlignment="1">
      <alignment horizontal="left" vertical="center" indent="4"/>
    </xf>
    <xf numFmtId="0" fontId="19" fillId="2" borderId="0" xfId="0" applyFont="1" applyFill="1" applyAlignment="1">
      <alignment horizontal="left" vertical="center" indent="4"/>
    </xf>
    <xf numFmtId="9" fontId="19" fillId="2" borderId="0" xfId="0" applyNumberFormat="1" applyFont="1" applyFill="1" applyAlignment="1">
      <alignment horizontal="left" vertical="center" indent="4"/>
    </xf>
    <xf numFmtId="166" fontId="0" fillId="0" borderId="8" xfId="0" applyNumberFormat="1" applyBorder="1"/>
    <xf numFmtId="0" fontId="0" fillId="3" borderId="0" xfId="0" applyFill="1" applyBorder="1"/>
    <xf numFmtId="2" fontId="0" fillId="3" borderId="0" xfId="0" applyNumberFormat="1" applyFill="1" applyBorder="1"/>
    <xf numFmtId="0" fontId="18" fillId="3" borderId="0" xfId="0" applyFont="1" applyFill="1" applyBorder="1"/>
    <xf numFmtId="0" fontId="0" fillId="2" borderId="0" xfId="0" applyFill="1" applyBorder="1"/>
    <xf numFmtId="166" fontId="0" fillId="0" borderId="0" xfId="0" applyNumberFormat="1" applyBorder="1"/>
    <xf numFmtId="0" fontId="3" fillId="0" borderId="23" xfId="0" applyFont="1" applyBorder="1"/>
    <xf numFmtId="2" fontId="0" fillId="0" borderId="24" xfId="0" applyNumberFormat="1" applyBorder="1"/>
    <xf numFmtId="0" fontId="0" fillId="0" borderId="25" xfId="0" applyBorder="1"/>
    <xf numFmtId="0" fontId="4" fillId="0" borderId="8" xfId="0" applyFont="1" applyBorder="1"/>
    <xf numFmtId="2" fontId="4" fillId="0" borderId="8" xfId="0" applyNumberFormat="1" applyFont="1" applyBorder="1"/>
    <xf numFmtId="0" fontId="4" fillId="0" borderId="8" xfId="0" applyFont="1" applyBorder="1" applyAlignment="1">
      <alignment horizontal="center"/>
    </xf>
    <xf numFmtId="2" fontId="3" fillId="2" borderId="0" xfId="0" applyNumberFormat="1" applyFont="1" applyFill="1"/>
    <xf numFmtId="2" fontId="3" fillId="3" borderId="0" xfId="0" applyNumberFormat="1" applyFont="1" applyFill="1"/>
    <xf numFmtId="0" fontId="19" fillId="2" borderId="0" xfId="0" applyFont="1" applyFill="1" applyAlignment="1">
      <alignment horizontal="center" vertical="center"/>
    </xf>
    <xf numFmtId="2" fontId="19" fillId="2" borderId="0" xfId="0" applyNumberFormat="1" applyFont="1" applyFill="1" applyAlignment="1">
      <alignment horizontal="left" vertical="center" indent="4"/>
    </xf>
    <xf numFmtId="0" fontId="19" fillId="0" borderId="0" xfId="0" applyFont="1" applyAlignment="1">
      <alignment horizontal="left" vertical="center" indent="4"/>
    </xf>
    <xf numFmtId="164" fontId="19" fillId="0" borderId="22" xfId="0" applyNumberFormat="1" applyFont="1" applyBorder="1" applyAlignment="1">
      <alignment horizontal="left" vertical="center" indent="4"/>
    </xf>
    <xf numFmtId="2" fontId="3" fillId="2" borderId="0" xfId="0" applyNumberFormat="1" applyFont="1" applyFill="1" applyBorder="1"/>
    <xf numFmtId="0" fontId="20" fillId="0" borderId="0" xfId="16"/>
    <xf numFmtId="0" fontId="3" fillId="0" borderId="2" xfId="0" applyFont="1" applyBorder="1"/>
    <xf numFmtId="0" fontId="3" fillId="0" borderId="9" xfId="0" applyFont="1" applyBorder="1"/>
    <xf numFmtId="1" fontId="0" fillId="0" borderId="0" xfId="0" applyNumberFormat="1" applyBorder="1"/>
    <xf numFmtId="165" fontId="4" fillId="0" borderId="0" xfId="0" applyNumberFormat="1" applyFont="1"/>
    <xf numFmtId="0" fontId="0" fillId="0" borderId="22" xfId="0" applyBorder="1" applyAlignment="1"/>
    <xf numFmtId="0" fontId="0" fillId="0" borderId="0" xfId="0" applyAlignment="1">
      <alignment horizontal="center" vertical="center" wrapText="1"/>
    </xf>
    <xf numFmtId="0" fontId="0" fillId="0" borderId="0" xfId="0" applyAlignment="1">
      <alignment horizontal="center"/>
    </xf>
    <xf numFmtId="165" fontId="0" fillId="3" borderId="0" xfId="0" applyNumberFormat="1" applyFill="1" applyAlignment="1">
      <alignment horizontal="center"/>
    </xf>
    <xf numFmtId="0" fontId="0" fillId="3" borderId="0" xfId="0" applyFill="1" applyAlignment="1">
      <alignment horizontal="center"/>
    </xf>
    <xf numFmtId="164" fontId="19" fillId="3" borderId="0" xfId="0" applyNumberFormat="1" applyFont="1" applyFill="1" applyAlignment="1">
      <alignment horizontal="left" vertical="center" indent="4"/>
    </xf>
    <xf numFmtId="0" fontId="0" fillId="3" borderId="8" xfId="0" applyFill="1" applyBorder="1"/>
    <xf numFmtId="2" fontId="0" fillId="3" borderId="8" xfId="0" applyNumberFormat="1" applyFill="1" applyBorder="1"/>
    <xf numFmtId="0" fontId="4" fillId="0" borderId="0" xfId="0" applyFont="1" applyBorder="1" applyAlignment="1">
      <alignment vertical="center" wrapText="1"/>
    </xf>
    <xf numFmtId="165" fontId="0" fillId="3" borderId="0" xfId="0" applyNumberFormat="1" applyFill="1" applyBorder="1"/>
    <xf numFmtId="1" fontId="0" fillId="3" borderId="0" xfId="0" applyNumberFormat="1" applyFill="1" applyBorder="1"/>
    <xf numFmtId="3" fontId="0" fillId="2" borderId="0" xfId="0" applyNumberFormat="1" applyFill="1" applyBorder="1"/>
    <xf numFmtId="2" fontId="13" fillId="2" borderId="0" xfId="0" applyNumberFormat="1" applyFont="1" applyFill="1" applyAlignment="1">
      <alignment horizontal="left" vertical="center" indent="4"/>
    </xf>
    <xf numFmtId="0" fontId="4" fillId="0" borderId="4" xfId="0" applyFont="1" applyBorder="1" applyAlignment="1">
      <alignment vertical="center" wrapText="1"/>
    </xf>
    <xf numFmtId="0" fontId="0" fillId="2" borderId="4" xfId="0" applyFill="1" applyBorder="1"/>
    <xf numFmtId="168" fontId="4" fillId="0" borderId="5" xfId="0" applyNumberFormat="1" applyFont="1" applyBorder="1" applyAlignment="1">
      <alignment vertical="center" wrapText="1"/>
    </xf>
    <xf numFmtId="168" fontId="0" fillId="0" borderId="5" xfId="0" applyNumberFormat="1" applyBorder="1"/>
    <xf numFmtId="1" fontId="0" fillId="2" borderId="4" xfId="0" applyNumberFormat="1" applyFill="1" applyBorder="1"/>
    <xf numFmtId="165" fontId="0" fillId="3" borderId="4" xfId="1" applyNumberFormat="1" applyFont="1" applyFill="1" applyBorder="1"/>
    <xf numFmtId="165" fontId="0" fillId="3" borderId="0" xfId="1" applyNumberFormat="1" applyFont="1" applyFill="1" applyBorder="1"/>
    <xf numFmtId="2" fontId="0" fillId="0" borderId="4" xfId="0" applyNumberFormat="1" applyBorder="1"/>
    <xf numFmtId="2" fontId="0" fillId="2" borderId="4" xfId="0" applyNumberFormat="1" applyFill="1" applyBorder="1"/>
    <xf numFmtId="2" fontId="0" fillId="3" borderId="4" xfId="0" applyNumberFormat="1" applyFill="1" applyBorder="1"/>
    <xf numFmtId="1" fontId="19" fillId="2" borderId="4" xfId="0" applyNumberFormat="1" applyFont="1" applyFill="1" applyBorder="1" applyAlignment="1">
      <alignment horizontal="left" vertical="center" indent="4"/>
    </xf>
    <xf numFmtId="3" fontId="0" fillId="0" borderId="4" xfId="0" applyNumberFormat="1" applyBorder="1"/>
    <xf numFmtId="3" fontId="0" fillId="2" borderId="4" xfId="0" applyNumberFormat="1" applyFill="1" applyBorder="1"/>
    <xf numFmtId="3" fontId="3" fillId="0" borderId="4" xfId="0" applyNumberFormat="1" applyFont="1" applyBorder="1"/>
    <xf numFmtId="3" fontId="0" fillId="0" borderId="27" xfId="0" applyNumberFormat="1" applyBorder="1"/>
    <xf numFmtId="168" fontId="0" fillId="0" borderId="28" xfId="0" applyNumberFormat="1" applyBorder="1"/>
    <xf numFmtId="3" fontId="0" fillId="0" borderId="5" xfId="0" applyNumberFormat="1" applyBorder="1"/>
    <xf numFmtId="0" fontId="0" fillId="0" borderId="27" xfId="0" applyBorder="1"/>
    <xf numFmtId="3" fontId="0" fillId="0" borderId="28" xfId="0" applyNumberFormat="1" applyBorder="1"/>
    <xf numFmtId="1" fontId="0" fillId="0" borderId="4" xfId="0" applyNumberFormat="1" applyBorder="1"/>
    <xf numFmtId="2" fontId="4" fillId="0" borderId="4" xfId="0" applyNumberFormat="1" applyFont="1" applyBorder="1"/>
    <xf numFmtId="2" fontId="4" fillId="0" borderId="0" xfId="0" applyNumberFormat="1" applyFont="1" applyBorder="1"/>
    <xf numFmtId="168" fontId="4" fillId="0" borderId="5" xfId="0" applyNumberFormat="1" applyFont="1" applyBorder="1"/>
    <xf numFmtId="2" fontId="0" fillId="0" borderId="5" xfId="0" applyNumberFormat="1" applyBorder="1"/>
    <xf numFmtId="165" fontId="0" fillId="0" borderId="5" xfId="0" applyNumberFormat="1" applyBorder="1"/>
    <xf numFmtId="165" fontId="0" fillId="2" borderId="4" xfId="0" applyNumberFormat="1" applyFill="1" applyBorder="1"/>
    <xf numFmtId="0" fontId="22" fillId="0" borderId="0" xfId="0" applyFont="1" applyFill="1" applyBorder="1"/>
    <xf numFmtId="0" fontId="0" fillId="2" borderId="17" xfId="0" applyFill="1" applyBorder="1"/>
    <xf numFmtId="0" fontId="3" fillId="0" borderId="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164" fontId="0" fillId="3" borderId="0" xfId="1" applyNumberFormat="1" applyFont="1" applyFill="1"/>
    <xf numFmtId="0" fontId="23" fillId="0" borderId="0" xfId="0" applyFont="1"/>
    <xf numFmtId="3" fontId="0" fillId="3" borderId="4" xfId="0" applyNumberFormat="1" applyFill="1" applyBorder="1"/>
    <xf numFmtId="3" fontId="0" fillId="3" borderId="0" xfId="0" applyNumberFormat="1" applyFill="1" applyBorder="1"/>
    <xf numFmtId="0" fontId="0" fillId="0" borderId="5" xfId="0" applyBorder="1"/>
    <xf numFmtId="168" fontId="3" fillId="0" borderId="4" xfId="0" applyNumberFormat="1" applyFont="1" applyBorder="1"/>
    <xf numFmtId="168" fontId="3" fillId="0" borderId="0" xfId="0" applyNumberFormat="1" applyFont="1" applyBorder="1"/>
    <xf numFmtId="0" fontId="18" fillId="0" borderId="32" xfId="0" applyFont="1" applyBorder="1" applyAlignment="1">
      <alignment vertical="center" wrapText="1"/>
    </xf>
    <xf numFmtId="0" fontId="3" fillId="0" borderId="33" xfId="0" applyFont="1" applyBorder="1"/>
    <xf numFmtId="0" fontId="3" fillId="0" borderId="33" xfId="0" applyFont="1" applyFill="1" applyBorder="1"/>
    <xf numFmtId="0" fontId="4" fillId="0" borderId="33" xfId="0" applyFont="1" applyBorder="1"/>
    <xf numFmtId="0" fontId="4" fillId="0" borderId="33" xfId="0" applyFont="1" applyFill="1" applyBorder="1"/>
    <xf numFmtId="0" fontId="0" fillId="0" borderId="33" xfId="0" applyBorder="1"/>
    <xf numFmtId="0" fontId="3" fillId="0" borderId="34" xfId="0" applyFont="1" applyBorder="1"/>
    <xf numFmtId="0" fontId="4" fillId="0" borderId="33" xfId="0" applyFont="1" applyBorder="1" applyAlignment="1">
      <alignment vertical="center" wrapText="1"/>
    </xf>
    <xf numFmtId="0" fontId="4" fillId="0" borderId="35" xfId="0" applyFont="1" applyBorder="1"/>
    <xf numFmtId="0" fontId="0" fillId="0" borderId="26" xfId="0" applyBorder="1"/>
    <xf numFmtId="0" fontId="3" fillId="0" borderId="26" xfId="0" applyFont="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165" fontId="0" fillId="3" borderId="4" xfId="0" applyNumberFormat="1" applyFill="1" applyBorder="1"/>
    <xf numFmtId="2" fontId="0" fillId="0" borderId="6" xfId="0" applyNumberFormat="1" applyBorder="1"/>
    <xf numFmtId="2" fontId="0" fillId="0" borderId="1" xfId="0" applyNumberFormat="1" applyBorder="1"/>
    <xf numFmtId="168" fontId="0" fillId="0" borderId="7" xfId="0" applyNumberFormat="1" applyBorder="1"/>
    <xf numFmtId="2" fontId="19" fillId="2" borderId="4" xfId="0" applyNumberFormat="1" applyFont="1" applyFill="1" applyBorder="1" applyAlignment="1">
      <alignment horizontal="center" vertical="center"/>
    </xf>
    <xf numFmtId="2" fontId="0" fillId="3" borderId="0" xfId="0" applyNumberFormat="1" applyFill="1" applyBorder="1" applyAlignment="1">
      <alignment horizontal="center"/>
    </xf>
    <xf numFmtId="168" fontId="0" fillId="0" borderId="5" xfId="0" applyNumberForma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1" fontId="0" fillId="2" borderId="4" xfId="0" applyNumberFormat="1" applyFill="1" applyBorder="1" applyAlignment="1">
      <alignment horizontal="center"/>
    </xf>
    <xf numFmtId="1" fontId="0" fillId="0" borderId="0" xfId="0" applyNumberFormat="1" applyBorder="1" applyAlignment="1">
      <alignment horizontal="center"/>
    </xf>
    <xf numFmtId="1" fontId="0" fillId="0" borderId="4" xfId="0" applyNumberFormat="1" applyBorder="1" applyAlignment="1">
      <alignment horizontal="center"/>
    </xf>
    <xf numFmtId="165" fontId="3" fillId="3" borderId="4" xfId="0" applyNumberFormat="1" applyFont="1" applyFill="1" applyBorder="1"/>
    <xf numFmtId="165" fontId="3" fillId="3" borderId="0" xfId="0" applyNumberFormat="1" applyFont="1" applyFill="1" applyBorder="1"/>
    <xf numFmtId="2" fontId="4" fillId="3" borderId="4" xfId="0" applyNumberFormat="1" applyFont="1" applyFill="1" applyBorder="1"/>
    <xf numFmtId="2" fontId="0" fillId="0" borderId="0" xfId="0" applyNumberFormat="1" applyBorder="1" applyAlignment="1">
      <alignment horizontal="center"/>
    </xf>
    <xf numFmtId="2" fontId="0" fillId="0" borderId="4" xfId="0" applyNumberFormat="1" applyBorder="1" applyAlignment="1">
      <alignment horizontal="center"/>
    </xf>
    <xf numFmtId="165" fontId="0" fillId="2" borderId="4" xfId="1" applyNumberFormat="1" applyFont="1" applyFill="1" applyBorder="1"/>
    <xf numFmtId="165" fontId="0" fillId="2" borderId="0" xfId="1" applyNumberFormat="1" applyFont="1" applyFill="1" applyBorder="1"/>
    <xf numFmtId="164" fontId="13" fillId="3" borderId="0" xfId="0" applyNumberFormat="1" applyFont="1" applyFill="1" applyAlignment="1">
      <alignment horizontal="left" vertical="center" indent="4"/>
    </xf>
    <xf numFmtId="9" fontId="0" fillId="3" borderId="0" xfId="0" applyNumberFormat="1" applyFill="1"/>
    <xf numFmtId="0" fontId="4" fillId="0" borderId="22" xfId="0" applyFont="1" applyBorder="1" applyAlignment="1"/>
    <xf numFmtId="0" fontId="3" fillId="0" borderId="0" xfId="0" applyFont="1" applyAlignment="1"/>
    <xf numFmtId="0" fontId="0" fillId="0" borderId="0" xfId="0" applyAlignment="1"/>
    <xf numFmtId="0" fontId="3"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top"/>
    </xf>
    <xf numFmtId="0" fontId="3" fillId="0" borderId="0" xfId="0" applyFont="1" applyAlignment="1">
      <alignment horizontal="left" vertical="center" wrapText="1"/>
    </xf>
    <xf numFmtId="0" fontId="4" fillId="0" borderId="0" xfId="0" applyFont="1" applyFill="1"/>
    <xf numFmtId="2" fontId="21" fillId="7" borderId="4" xfId="0" applyNumberFormat="1" applyFont="1" applyFill="1" applyBorder="1"/>
    <xf numFmtId="2" fontId="21" fillId="7" borderId="0" xfId="0" applyNumberFormat="1" applyFont="1" applyFill="1" applyBorder="1"/>
    <xf numFmtId="2" fontId="4" fillId="7" borderId="4" xfId="0" applyNumberFormat="1" applyFont="1" applyFill="1" applyBorder="1"/>
    <xf numFmtId="2" fontId="4" fillId="7" borderId="0" xfId="0" applyNumberFormat="1" applyFont="1" applyFill="1" applyBorder="1"/>
    <xf numFmtId="1" fontId="4" fillId="7" borderId="4" xfId="0" applyNumberFormat="1" applyFont="1" applyFill="1" applyBorder="1"/>
    <xf numFmtId="1" fontId="4" fillId="7" borderId="0" xfId="0" applyNumberFormat="1" applyFont="1" applyFill="1" applyBorder="1"/>
    <xf numFmtId="2" fontId="3" fillId="7" borderId="4" xfId="0" applyNumberFormat="1" applyFont="1" applyFill="1" applyBorder="1" applyAlignment="1">
      <alignment horizontal="center"/>
    </xf>
    <xf numFmtId="2" fontId="0" fillId="7" borderId="0" xfId="0" applyNumberFormat="1" applyFill="1" applyBorder="1" applyAlignment="1">
      <alignment horizontal="center"/>
    </xf>
    <xf numFmtId="0" fontId="3" fillId="3" borderId="0" xfId="0" applyFont="1" applyFill="1"/>
    <xf numFmtId="165" fontId="16" fillId="3" borderId="0" xfId="0" applyNumberFormat="1" applyFont="1" applyFill="1" applyAlignment="1">
      <alignment horizontal="left" vertical="center" indent="4"/>
    </xf>
    <xf numFmtId="9" fontId="3" fillId="2" borderId="0" xfId="0" applyNumberFormat="1" applyFont="1" applyFill="1"/>
    <xf numFmtId="0" fontId="4" fillId="7" borderId="0" xfId="0" applyFont="1" applyFill="1"/>
    <xf numFmtId="0" fontId="3" fillId="2" borderId="0" xfId="0" applyFont="1" applyFill="1"/>
    <xf numFmtId="0" fontId="0" fillId="7" borderId="0" xfId="0" applyFill="1"/>
    <xf numFmtId="0" fontId="0" fillId="8" borderId="0" xfId="0" applyFill="1" applyBorder="1"/>
    <xf numFmtId="2" fontId="0" fillId="8" borderId="0" xfId="0" applyNumberFormat="1" applyFill="1" applyBorder="1"/>
    <xf numFmtId="3" fontId="3" fillId="3" borderId="4" xfId="0" applyNumberFormat="1" applyFont="1" applyFill="1" applyBorder="1"/>
    <xf numFmtId="3" fontId="3" fillId="3" borderId="0" xfId="0" applyNumberFormat="1" applyFont="1" applyFill="1" applyBorder="1"/>
    <xf numFmtId="2" fontId="3" fillId="3" borderId="4" xfId="0" applyNumberFormat="1" applyFont="1" applyFill="1" applyBorder="1"/>
    <xf numFmtId="2" fontId="3" fillId="3" borderId="0" xfId="0" applyNumberFormat="1" applyFont="1" applyFill="1" applyBorder="1"/>
    <xf numFmtId="1" fontId="0" fillId="8" borderId="0" xfId="0" applyNumberFormat="1" applyFill="1" applyBorder="1"/>
    <xf numFmtId="165" fontId="0" fillId="8" borderId="0" xfId="0" applyNumberFormat="1" applyFill="1" applyBorder="1"/>
    <xf numFmtId="2" fontId="0" fillId="7" borderId="4" xfId="0" applyNumberFormat="1" applyFill="1" applyBorder="1"/>
    <xf numFmtId="2" fontId="0" fillId="7" borderId="0" xfId="0" applyNumberFormat="1" applyFill="1" applyBorder="1"/>
    <xf numFmtId="165" fontId="0" fillId="7" borderId="4" xfId="0" applyNumberFormat="1" applyFill="1" applyBorder="1"/>
    <xf numFmtId="165" fontId="0" fillId="7" borderId="0" xfId="0" applyNumberFormat="1" applyFill="1" applyBorder="1"/>
    <xf numFmtId="0" fontId="3" fillId="8" borderId="0" xfId="0" applyFont="1" applyFill="1"/>
    <xf numFmtId="2" fontId="3" fillId="2" borderId="0" xfId="0" applyNumberFormat="1" applyFont="1" applyFill="1" applyAlignment="1">
      <alignment horizontal="left" vertical="center" indent="4"/>
    </xf>
    <xf numFmtId="0" fontId="24" fillId="0" borderId="0" xfId="0" applyFont="1"/>
    <xf numFmtId="0" fontId="20" fillId="2" borderId="0" xfId="16" applyFill="1" applyAlignment="1">
      <alignment horizontal="center"/>
    </xf>
    <xf numFmtId="0" fontId="3" fillId="2" borderId="0" xfId="0" applyFont="1" applyFill="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top"/>
    </xf>
    <xf numFmtId="0" fontId="3" fillId="0" borderId="10" xfId="0" applyFont="1" applyBorder="1" applyAlignment="1">
      <alignment horizontal="center"/>
    </xf>
    <xf numFmtId="0" fontId="0" fillId="0" borderId="10" xfId="0" applyBorder="1" applyAlignment="1">
      <alignment horizontal="center"/>
    </xf>
    <xf numFmtId="0" fontId="3" fillId="0" borderId="29"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0" borderId="29"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cellXfs>
  <cellStyles count="17">
    <cellStyle name="Bemærk! 2" xfId="9"/>
    <cellStyle name="Beregning 2" xfId="11"/>
    <cellStyle name="Euro" xfId="5"/>
    <cellStyle name="Forklarende tekst 2" xfId="13"/>
    <cellStyle name="Input 2" xfId="10"/>
    <cellStyle name="Link" xfId="16" builtinId="8"/>
    <cellStyle name="Normal" xfId="0" builtinId="0"/>
    <cellStyle name="Normal 2" xfId="2"/>
    <cellStyle name="Normal 3" xfId="4"/>
    <cellStyle name="Normal 4" xfId="7"/>
    <cellStyle name="Normal 5" xfId="8"/>
    <cellStyle name="Normal 6" xfId="14"/>
    <cellStyle name="Normal 7" xfId="15"/>
    <cellStyle name="Output 2" xfId="12"/>
    <cellStyle name="Procent" xfId="1" builtinId="5"/>
    <cellStyle name="Procent 2" xfId="3"/>
    <cellStyle name="Procent 3" xfId="6"/>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69685039370078"/>
          <c:y val="0.18103018372703411"/>
          <c:w val="0.6675113735783027"/>
          <c:h val="0.65669364246135897"/>
        </c:manualLayout>
      </c:layout>
      <c:scatterChart>
        <c:scatterStyle val="lineMarker"/>
        <c:varyColors val="0"/>
        <c:ser>
          <c:idx val="0"/>
          <c:order val="0"/>
          <c:tx>
            <c:strRef>
              <c:f>'Kalkuler Mælkekopper'!$D$368</c:f>
              <c:strCache>
                <c:ptCount val="1"/>
                <c:pt idx="0">
                  <c:v>Liter somælk dag/so</c:v>
                </c:pt>
              </c:strCache>
            </c:strRef>
          </c:tx>
          <c:spPr>
            <a:ln w="28575">
              <a:noFill/>
            </a:ln>
          </c:spPr>
          <c:xVal>
            <c:numRef>
              <c:f>'Kalkuler Mælkekopper'!$C$369:$C$411</c:f>
            </c:numRef>
          </c:xVal>
          <c:yVal>
            <c:numRef>
              <c:f>'Kalkuler Mælkekopper'!$D$369:$D$411</c:f>
            </c:numRef>
          </c:yVal>
          <c:smooth val="0"/>
        </c:ser>
        <c:ser>
          <c:idx val="1"/>
          <c:order val="1"/>
          <c:tx>
            <c:strRef>
              <c:f>'Kalkuler Mælkekopper'!$F$368</c:f>
              <c:strCache>
                <c:ptCount val="1"/>
                <c:pt idx="0">
                  <c:v>Gns. ydelse liter dag/so</c:v>
                </c:pt>
              </c:strCache>
            </c:strRef>
          </c:tx>
          <c:spPr>
            <a:ln w="28575">
              <a:noFill/>
            </a:ln>
          </c:spPr>
          <c:yVal>
            <c:numRef>
              <c:f>'Kalkuler Mælkekopper'!$F$369:$F$411</c:f>
            </c:numRef>
          </c:yVal>
          <c:smooth val="0"/>
        </c:ser>
        <c:dLbls>
          <c:showLegendKey val="0"/>
          <c:showVal val="0"/>
          <c:showCatName val="0"/>
          <c:showSerName val="0"/>
          <c:showPercent val="0"/>
          <c:showBubbleSize val="0"/>
        </c:dLbls>
        <c:axId val="132584960"/>
        <c:axId val="132586880"/>
      </c:scatterChart>
      <c:valAx>
        <c:axId val="132584960"/>
        <c:scaling>
          <c:orientation val="minMax"/>
        </c:scaling>
        <c:delete val="0"/>
        <c:axPos val="b"/>
        <c:title>
          <c:tx>
            <c:rich>
              <a:bodyPr/>
              <a:lstStyle/>
              <a:p>
                <a:pPr>
                  <a:defRPr/>
                </a:pPr>
                <a:r>
                  <a:rPr lang="da-DK"/>
                  <a:t>Dage</a:t>
                </a:r>
                <a:r>
                  <a:rPr lang="da-DK" baseline="0"/>
                  <a:t> fra faring til soen fravænnes</a:t>
                </a:r>
                <a:endParaRPr lang="da-DK"/>
              </a:p>
            </c:rich>
          </c:tx>
          <c:overlay val="0"/>
        </c:title>
        <c:numFmt formatCode="General" sourceLinked="1"/>
        <c:majorTickMark val="out"/>
        <c:minorTickMark val="none"/>
        <c:tickLblPos val="nextTo"/>
        <c:crossAx val="132586880"/>
        <c:crosses val="autoZero"/>
        <c:crossBetween val="midCat"/>
      </c:valAx>
      <c:valAx>
        <c:axId val="132586880"/>
        <c:scaling>
          <c:orientation val="minMax"/>
        </c:scaling>
        <c:delete val="0"/>
        <c:axPos val="l"/>
        <c:majorGridlines/>
        <c:title>
          <c:tx>
            <c:rich>
              <a:bodyPr rot="0" vert="horz"/>
              <a:lstStyle/>
              <a:p>
                <a:pPr>
                  <a:defRPr/>
                </a:pPr>
                <a:r>
                  <a:rPr lang="da-DK"/>
                  <a:t>Somælk</a:t>
                </a:r>
                <a:r>
                  <a:rPr lang="da-DK" baseline="0"/>
                  <a:t> i liter</a:t>
                </a:r>
                <a:endParaRPr lang="da-DK"/>
              </a:p>
            </c:rich>
          </c:tx>
          <c:layout>
            <c:manualLayout>
              <c:xMode val="edge"/>
              <c:yMode val="edge"/>
              <c:x val="6.3888888888888884E-2"/>
              <c:y val="5.2883858267716549E-2"/>
            </c:manualLayout>
          </c:layout>
          <c:overlay val="0"/>
        </c:title>
        <c:numFmt formatCode="0.00" sourceLinked="1"/>
        <c:majorTickMark val="out"/>
        <c:minorTickMark val="none"/>
        <c:tickLblPos val="nextTo"/>
        <c:crossAx val="132584960"/>
        <c:crosses val="autoZero"/>
        <c:crossBetween val="midCat"/>
      </c:valAx>
    </c:plotArea>
    <c:legend>
      <c:legendPos val="r"/>
      <c:layout>
        <c:manualLayout>
          <c:xMode val="edge"/>
          <c:yMode val="edge"/>
          <c:x val="0.30862489063867016"/>
          <c:y val="4.2457713619130973E-3"/>
          <c:w val="0.31081955380577425"/>
          <c:h val="0.1674343832020997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34951881014873"/>
          <c:y val="0.24824770874666066"/>
          <c:w val="0.74778849518810164"/>
          <c:h val="0.63577237549089849"/>
        </c:manualLayout>
      </c:layout>
      <c:lineChart>
        <c:grouping val="standard"/>
        <c:varyColors val="0"/>
        <c:ser>
          <c:idx val="0"/>
          <c:order val="0"/>
          <c:tx>
            <c:strRef>
              <c:f>'Kalkuler Mælkekopper'!$C$229</c:f>
              <c:strCache>
                <c:ptCount val="1"/>
                <c:pt idx="0">
                  <c:v>Startblanding i gram/fravænnet gris</c:v>
                </c:pt>
              </c:strCache>
            </c:strRef>
          </c:tx>
          <c:marker>
            <c:symbol val="none"/>
          </c:marker>
          <c:cat>
            <c:numRef>
              <c:f>'Kalkuler Mælkekopper'!$B$230:$B$236</c:f>
              <c:numCache>
                <c:formatCode>General</c:formatCode>
                <c:ptCount val="7"/>
                <c:pt idx="0">
                  <c:v>12</c:v>
                </c:pt>
                <c:pt idx="1">
                  <c:v>13</c:v>
                </c:pt>
                <c:pt idx="2">
                  <c:v>14</c:v>
                </c:pt>
                <c:pt idx="3">
                  <c:v>15</c:v>
                </c:pt>
                <c:pt idx="4">
                  <c:v>16</c:v>
                </c:pt>
                <c:pt idx="5">
                  <c:v>17</c:v>
                </c:pt>
                <c:pt idx="6">
                  <c:v>18</c:v>
                </c:pt>
              </c:numCache>
            </c:numRef>
          </c:cat>
          <c:val>
            <c:numRef>
              <c:f>'Kalkuler Mælkekopper'!$C$230:$C$236</c:f>
              <c:numCache>
                <c:formatCode>0</c:formatCode>
                <c:ptCount val="7"/>
                <c:pt idx="0">
                  <c:v>94.917118815008365</c:v>
                </c:pt>
                <c:pt idx="1">
                  <c:v>102.82687871625907</c:v>
                </c:pt>
                <c:pt idx="2">
                  <c:v>118.94004230151342</c:v>
                </c:pt>
                <c:pt idx="3">
                  <c:v>142.91393748229527</c:v>
                </c:pt>
                <c:pt idx="4">
                  <c:v>166.50232656354143</c:v>
                </c:pt>
                <c:pt idx="5">
                  <c:v>189.77324003340533</c:v>
                </c:pt>
                <c:pt idx="6">
                  <c:v>212.77959049378393</c:v>
                </c:pt>
              </c:numCache>
            </c:numRef>
          </c:val>
          <c:smooth val="0"/>
        </c:ser>
        <c:ser>
          <c:idx val="1"/>
          <c:order val="1"/>
          <c:tx>
            <c:strRef>
              <c:f>'Kalkuler Mælkekopper'!$D$229</c:f>
              <c:strCache>
                <c:ptCount val="1"/>
                <c:pt idx="0">
                  <c:v>Slutblanding i gram/fravænnet gris</c:v>
                </c:pt>
              </c:strCache>
            </c:strRef>
          </c:tx>
          <c:marker>
            <c:symbol val="none"/>
          </c:marker>
          <c:cat>
            <c:numRef>
              <c:f>'Kalkuler Mælkekopper'!$B$230:$B$236</c:f>
              <c:numCache>
                <c:formatCode>General</c:formatCode>
                <c:ptCount val="7"/>
                <c:pt idx="0">
                  <c:v>12</c:v>
                </c:pt>
                <c:pt idx="1">
                  <c:v>13</c:v>
                </c:pt>
                <c:pt idx="2">
                  <c:v>14</c:v>
                </c:pt>
                <c:pt idx="3">
                  <c:v>15</c:v>
                </c:pt>
                <c:pt idx="4">
                  <c:v>16</c:v>
                </c:pt>
                <c:pt idx="5">
                  <c:v>17</c:v>
                </c:pt>
                <c:pt idx="6">
                  <c:v>18</c:v>
                </c:pt>
              </c:numCache>
            </c:numRef>
          </c:cat>
          <c:val>
            <c:numRef>
              <c:f>'Kalkuler Mælkekopper'!$D$230:$D$236</c:f>
              <c:numCache>
                <c:formatCode>0</c:formatCode>
                <c:ptCount val="7"/>
                <c:pt idx="0">
                  <c:v>337.83300488499719</c:v>
                </c:pt>
                <c:pt idx="1">
                  <c:v>365.98575529208028</c:v>
                </c:pt>
                <c:pt idx="2">
                  <c:v>389.46986057559695</c:v>
                </c:pt>
                <c:pt idx="3">
                  <c:v>692.8833823158235</c:v>
                </c:pt>
                <c:pt idx="4">
                  <c:v>757.13130204369986</c:v>
                </c:pt>
                <c:pt idx="5">
                  <c:v>818.73853764086152</c:v>
                </c:pt>
                <c:pt idx="6">
                  <c:v>877.959299024095</c:v>
                </c:pt>
              </c:numCache>
            </c:numRef>
          </c:val>
          <c:smooth val="0"/>
        </c:ser>
        <c:ser>
          <c:idx val="2"/>
          <c:order val="2"/>
          <c:tx>
            <c:strRef>
              <c:f>'Kalkuler Mælkekopper'!$E$229</c:f>
              <c:strCache>
                <c:ptCount val="1"/>
                <c:pt idx="0">
                  <c:v>I alt gram/fravænnet</c:v>
                </c:pt>
              </c:strCache>
            </c:strRef>
          </c:tx>
          <c:marker>
            <c:symbol val="none"/>
          </c:marker>
          <c:cat>
            <c:numRef>
              <c:f>'Kalkuler Mælkekopper'!$B$230:$B$236</c:f>
              <c:numCache>
                <c:formatCode>General</c:formatCode>
                <c:ptCount val="7"/>
                <c:pt idx="0">
                  <c:v>12</c:v>
                </c:pt>
                <c:pt idx="1">
                  <c:v>13</c:v>
                </c:pt>
                <c:pt idx="2">
                  <c:v>14</c:v>
                </c:pt>
                <c:pt idx="3">
                  <c:v>15</c:v>
                </c:pt>
                <c:pt idx="4">
                  <c:v>16</c:v>
                </c:pt>
                <c:pt idx="5">
                  <c:v>17</c:v>
                </c:pt>
                <c:pt idx="6">
                  <c:v>18</c:v>
                </c:pt>
              </c:numCache>
            </c:numRef>
          </c:cat>
          <c:val>
            <c:numRef>
              <c:f>'Kalkuler Mælkekopper'!$E$230:$E$236</c:f>
              <c:numCache>
                <c:formatCode>0</c:formatCode>
                <c:ptCount val="7"/>
                <c:pt idx="0">
                  <c:v>432.75012370000559</c:v>
                </c:pt>
                <c:pt idx="1">
                  <c:v>468.81263400833939</c:v>
                </c:pt>
                <c:pt idx="2">
                  <c:v>508.40990287711037</c:v>
                </c:pt>
                <c:pt idx="3">
                  <c:v>835.79731979811879</c:v>
                </c:pt>
                <c:pt idx="4">
                  <c:v>923.63362860724123</c:v>
                </c:pt>
                <c:pt idx="5">
                  <c:v>1008.5117776742668</c:v>
                </c:pt>
                <c:pt idx="6">
                  <c:v>1090.738889517879</c:v>
                </c:pt>
              </c:numCache>
            </c:numRef>
          </c:val>
          <c:smooth val="0"/>
        </c:ser>
        <c:dLbls>
          <c:showLegendKey val="0"/>
          <c:showVal val="0"/>
          <c:showCatName val="0"/>
          <c:showSerName val="0"/>
          <c:showPercent val="0"/>
          <c:showBubbleSize val="0"/>
        </c:dLbls>
        <c:marker val="1"/>
        <c:smooth val="0"/>
        <c:axId val="135095424"/>
        <c:axId val="135097344"/>
      </c:lineChart>
      <c:catAx>
        <c:axId val="135095424"/>
        <c:scaling>
          <c:orientation val="minMax"/>
        </c:scaling>
        <c:delete val="0"/>
        <c:axPos val="b"/>
        <c:title>
          <c:tx>
            <c:rich>
              <a:bodyPr/>
              <a:lstStyle/>
              <a:p>
                <a:pPr>
                  <a:defRPr/>
                </a:pPr>
                <a:r>
                  <a:rPr lang="da-DK"/>
                  <a:t>Grise</a:t>
                </a:r>
                <a:r>
                  <a:rPr lang="da-DK" baseline="0"/>
                  <a:t> ved soen hele tiden</a:t>
                </a:r>
                <a:endParaRPr lang="da-DK"/>
              </a:p>
            </c:rich>
          </c:tx>
          <c:overlay val="0"/>
        </c:title>
        <c:numFmt formatCode="General" sourceLinked="1"/>
        <c:majorTickMark val="out"/>
        <c:minorTickMark val="none"/>
        <c:tickLblPos val="nextTo"/>
        <c:crossAx val="135097344"/>
        <c:crosses val="autoZero"/>
        <c:auto val="1"/>
        <c:lblAlgn val="ctr"/>
        <c:lblOffset val="100"/>
        <c:noMultiLvlLbl val="0"/>
      </c:catAx>
      <c:valAx>
        <c:axId val="135097344"/>
        <c:scaling>
          <c:orientation val="minMax"/>
        </c:scaling>
        <c:delete val="0"/>
        <c:axPos val="l"/>
        <c:majorGridlines/>
        <c:title>
          <c:tx>
            <c:rich>
              <a:bodyPr rot="0" vert="horz"/>
              <a:lstStyle/>
              <a:p>
                <a:pPr>
                  <a:defRPr/>
                </a:pPr>
                <a:r>
                  <a:rPr lang="da-DK"/>
                  <a:t>Gram/gris</a:t>
                </a:r>
              </a:p>
            </c:rich>
          </c:tx>
          <c:layout>
            <c:manualLayout>
              <c:xMode val="edge"/>
              <c:yMode val="edge"/>
              <c:x val="3.3394335323469179E-2"/>
              <c:y val="0.12011061203632863"/>
            </c:manualLayout>
          </c:layout>
          <c:overlay val="0"/>
        </c:title>
        <c:numFmt formatCode="0" sourceLinked="1"/>
        <c:majorTickMark val="out"/>
        <c:minorTickMark val="none"/>
        <c:tickLblPos val="nextTo"/>
        <c:crossAx val="135095424"/>
        <c:crosses val="autoZero"/>
        <c:crossBetween val="between"/>
      </c:valAx>
    </c:plotArea>
    <c:legend>
      <c:legendPos val="t"/>
      <c:layout>
        <c:manualLayout>
          <c:xMode val="edge"/>
          <c:yMode val="edge"/>
          <c:x val="9.9450549450549444E-2"/>
          <c:y val="5.3781503115374732E-2"/>
          <c:w val="0.9"/>
          <c:h val="8.1043855216241162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304800</xdr:colOff>
      <xdr:row>355</xdr:row>
      <xdr:rowOff>42862</xdr:rowOff>
    </xdr:from>
    <xdr:to>
      <xdr:col>11</xdr:col>
      <xdr:colOff>523875</xdr:colOff>
      <xdr:row>369</xdr:row>
      <xdr:rowOff>128587</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638175</xdr:colOff>
      <xdr:row>236</xdr:row>
      <xdr:rowOff>152400</xdr:rowOff>
    </xdr:from>
    <xdr:to>
      <xdr:col>2</xdr:col>
      <xdr:colOff>695325</xdr:colOff>
      <xdr:row>254</xdr:row>
      <xdr:rowOff>71438</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vsp.lf.dk/Aktuelt/Noteringer/Beregn%20smaagrisepris.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GC@seges.d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B1" workbookViewId="0">
      <selection activeCell="B30" sqref="B30"/>
    </sheetView>
  </sheetViews>
  <sheetFormatPr defaultRowHeight="12.75" x14ac:dyDescent="0.2"/>
  <cols>
    <col min="1" max="1" width="9.140625" style="51"/>
    <col min="2" max="2" width="103.140625" style="51" bestFit="1" customWidth="1"/>
    <col min="3" max="3" width="17.42578125" style="51" customWidth="1"/>
    <col min="4" max="9" width="15.7109375" style="51" customWidth="1"/>
    <col min="10" max="10" width="10.7109375" style="51" customWidth="1"/>
    <col min="11" max="16384" width="9.140625" style="51"/>
  </cols>
  <sheetData>
    <row r="1" spans="1:7" x14ac:dyDescent="0.2">
      <c r="B1" s="58" t="s">
        <v>247</v>
      </c>
      <c r="C1" s="7"/>
      <c r="D1" s="33"/>
    </row>
    <row r="2" spans="1:7" x14ac:dyDescent="0.2">
      <c r="B2" s="58" t="s">
        <v>363</v>
      </c>
      <c r="C2" s="7"/>
      <c r="D2" s="33"/>
    </row>
    <row r="3" spans="1:7" x14ac:dyDescent="0.2">
      <c r="B3" s="126" t="s">
        <v>246</v>
      </c>
    </row>
    <row r="4" spans="1:7" x14ac:dyDescent="0.2">
      <c r="B4" s="126"/>
    </row>
    <row r="5" spans="1:7" ht="18" x14ac:dyDescent="0.25">
      <c r="A5" s="26"/>
      <c r="B5" s="53" t="s">
        <v>200</v>
      </c>
      <c r="G5" s="26"/>
    </row>
    <row r="6" spans="1:7" x14ac:dyDescent="0.2">
      <c r="B6" s="51" t="s">
        <v>77</v>
      </c>
      <c r="C6" s="17">
        <v>237.5</v>
      </c>
      <c r="G6" s="3"/>
    </row>
    <row r="7" spans="1:7" x14ac:dyDescent="0.2">
      <c r="B7" s="51" t="s">
        <v>78</v>
      </c>
      <c r="C7" s="17">
        <v>401</v>
      </c>
      <c r="G7" s="3"/>
    </row>
    <row r="9" spans="1:7" ht="13.5" thickBot="1" x14ac:dyDescent="0.25">
      <c r="B9" s="6" t="s">
        <v>249</v>
      </c>
    </row>
    <row r="10" spans="1:7" x14ac:dyDescent="0.2">
      <c r="B10" s="127" t="s">
        <v>13</v>
      </c>
      <c r="C10" s="128" t="s">
        <v>14</v>
      </c>
      <c r="D10" s="22" t="s">
        <v>80</v>
      </c>
      <c r="E10" s="54" t="s">
        <v>121</v>
      </c>
    </row>
    <row r="11" spans="1:7" x14ac:dyDescent="0.2">
      <c r="B11" s="8">
        <v>0</v>
      </c>
      <c r="C11" s="7">
        <v>7</v>
      </c>
      <c r="D11" s="23">
        <f>D12+3</f>
        <v>14.44</v>
      </c>
      <c r="E11" s="9">
        <f>C6</f>
        <v>237.5</v>
      </c>
      <c r="G11" s="30" t="s">
        <v>4</v>
      </c>
    </row>
    <row r="12" spans="1:7" x14ac:dyDescent="0.2">
      <c r="B12" s="12">
        <f>C11</f>
        <v>7</v>
      </c>
      <c r="C12" s="24">
        <v>9</v>
      </c>
      <c r="D12" s="56">
        <v>11.44</v>
      </c>
      <c r="E12" s="9">
        <f>E11+(C12-B12)*D12</f>
        <v>260.38</v>
      </c>
      <c r="G12" s="2"/>
    </row>
    <row r="13" spans="1:7" x14ac:dyDescent="0.2">
      <c r="B13" s="12">
        <f>C12</f>
        <v>9</v>
      </c>
      <c r="C13" s="24">
        <v>12</v>
      </c>
      <c r="D13" s="56">
        <v>7.46</v>
      </c>
      <c r="E13" s="9">
        <f>E12+(C13-B13)*D13</f>
        <v>282.76</v>
      </c>
      <c r="G13" s="2"/>
    </row>
    <row r="14" spans="1:7" x14ac:dyDescent="0.2">
      <c r="A14" s="20"/>
      <c r="B14" s="12">
        <f>C13</f>
        <v>12</v>
      </c>
      <c r="C14" s="24">
        <v>25</v>
      </c>
      <c r="D14" s="56">
        <v>6.84</v>
      </c>
      <c r="E14" s="9">
        <f>E13+(C14-B14)*D14</f>
        <v>371.68</v>
      </c>
      <c r="F14" s="51" t="s">
        <v>4</v>
      </c>
      <c r="G14" s="2"/>
    </row>
    <row r="15" spans="1:7" x14ac:dyDescent="0.2">
      <c r="A15" s="20"/>
      <c r="B15" s="12">
        <f>C14</f>
        <v>25</v>
      </c>
      <c r="C15" s="24">
        <v>30</v>
      </c>
      <c r="D15" s="56">
        <v>5.87</v>
      </c>
      <c r="E15" s="9">
        <f>C7</f>
        <v>401</v>
      </c>
      <c r="G15" s="2"/>
    </row>
    <row r="16" spans="1:7" ht="13.5" thickBot="1" x14ac:dyDescent="0.25">
      <c r="A16" s="20"/>
      <c r="B16" s="55">
        <f>C15</f>
        <v>30</v>
      </c>
      <c r="C16" s="25">
        <v>40</v>
      </c>
      <c r="D16" s="57">
        <v>5.93</v>
      </c>
      <c r="E16" s="10">
        <f>E15+(C16-B16)*D16</f>
        <v>460.3</v>
      </c>
      <c r="G16" s="2"/>
    </row>
    <row r="17" spans="1:7" x14ac:dyDescent="0.2">
      <c r="A17" s="20"/>
      <c r="B17" s="24"/>
      <c r="C17" s="24"/>
      <c r="D17" s="129"/>
      <c r="E17" s="129"/>
      <c r="G17" s="2"/>
    </row>
    <row r="18" spans="1:7" x14ac:dyDescent="0.2">
      <c r="A18" s="20"/>
      <c r="B18" s="130" t="s">
        <v>248</v>
      </c>
      <c r="C18" s="3"/>
    </row>
    <row r="19" spans="1:7" x14ac:dyDescent="0.2">
      <c r="A19" s="20"/>
      <c r="B19" s="26" t="s">
        <v>204</v>
      </c>
      <c r="C19" s="14">
        <v>7</v>
      </c>
      <c r="D19" s="51" t="s">
        <v>6</v>
      </c>
    </row>
    <row r="20" spans="1:7" x14ac:dyDescent="0.2">
      <c r="A20" s="20"/>
      <c r="B20" s="26" t="s">
        <v>203</v>
      </c>
      <c r="C20" s="5">
        <f>VLOOKUP(C19,B11:E16,4,TRUE)-(VLOOKUP(C19,B11:C16,2,TRUE)-C19)*VLOOKUP(C19,B11:D16,3,TRUE)</f>
        <v>237.5</v>
      </c>
      <c r="D20" s="26" t="s">
        <v>186</v>
      </c>
    </row>
    <row r="21" spans="1:7" x14ac:dyDescent="0.2">
      <c r="A21" s="20"/>
      <c r="B21" s="26"/>
      <c r="C21" s="5"/>
      <c r="D21" s="26"/>
    </row>
  </sheetData>
  <hyperlinks>
    <hyperlink ref="B3"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4"/>
  <sheetViews>
    <sheetView tabSelected="1" topLeftCell="A158" workbookViewId="0">
      <selection activeCell="C174" sqref="C174"/>
    </sheetView>
  </sheetViews>
  <sheetFormatPr defaultRowHeight="12.75" x14ac:dyDescent="0.2"/>
  <cols>
    <col min="1" max="1" width="9.140625" style="51"/>
    <col min="2" max="2" width="103.140625" style="51" bestFit="1" customWidth="1"/>
    <col min="3" max="3" width="17.42578125" style="51" customWidth="1"/>
    <col min="4" max="9" width="15.7109375" style="51" customWidth="1"/>
    <col min="10" max="10" width="10.7109375" style="51" customWidth="1"/>
    <col min="11" max="16384" width="9.140625" style="51"/>
  </cols>
  <sheetData>
    <row r="1" spans="2:8" ht="25.5" x14ac:dyDescent="0.35">
      <c r="B1" s="177" t="s">
        <v>263</v>
      </c>
      <c r="C1" s="218" t="s">
        <v>4</v>
      </c>
      <c r="D1" s="219"/>
      <c r="E1" s="219"/>
      <c r="F1" s="219"/>
      <c r="G1" s="219"/>
      <c r="H1" s="219"/>
    </row>
    <row r="2" spans="2:8" ht="15" x14ac:dyDescent="0.2">
      <c r="B2" s="253" t="s">
        <v>353</v>
      </c>
      <c r="C2" s="254" t="s">
        <v>356</v>
      </c>
      <c r="D2" s="255"/>
      <c r="E2" s="255"/>
      <c r="F2" s="133"/>
      <c r="G2" s="133"/>
      <c r="H2" s="133"/>
    </row>
    <row r="3" spans="2:8" ht="15" x14ac:dyDescent="0.2">
      <c r="B3" s="253" t="s">
        <v>354</v>
      </c>
      <c r="C3" s="255" t="s">
        <v>357</v>
      </c>
      <c r="D3" s="255"/>
      <c r="E3" s="255"/>
      <c r="F3" s="133"/>
      <c r="G3" s="133"/>
      <c r="H3" s="133"/>
    </row>
    <row r="4" spans="2:8" ht="14.25" customHeight="1" x14ac:dyDescent="0.2">
      <c r="B4" s="257" t="s">
        <v>325</v>
      </c>
      <c r="C4" s="257"/>
      <c r="D4" s="257"/>
      <c r="E4" s="257"/>
      <c r="F4" s="133"/>
      <c r="G4" s="133"/>
      <c r="H4" s="133"/>
    </row>
    <row r="5" spans="2:8" ht="35.1" customHeight="1" x14ac:dyDescent="0.2">
      <c r="B5" s="266" t="s">
        <v>326</v>
      </c>
      <c r="C5" s="266"/>
      <c r="D5" s="266"/>
      <c r="E5" s="266"/>
      <c r="F5" s="133"/>
      <c r="G5" s="133"/>
      <c r="H5" s="133"/>
    </row>
    <row r="6" spans="2:8" x14ac:dyDescent="0.2">
      <c r="B6" s="221" t="s">
        <v>361</v>
      </c>
      <c r="C6" s="223"/>
      <c r="D6" s="223"/>
      <c r="E6" s="223"/>
      <c r="F6" s="133"/>
      <c r="G6" s="133"/>
      <c r="H6" s="133"/>
    </row>
    <row r="7" spans="2:8" ht="38.25" customHeight="1" x14ac:dyDescent="0.2">
      <c r="B7" s="256" t="s">
        <v>362</v>
      </c>
      <c r="C7" s="256"/>
      <c r="D7" s="256"/>
      <c r="E7" s="256"/>
      <c r="F7" s="133"/>
      <c r="G7" s="133"/>
      <c r="H7" s="133"/>
    </row>
    <row r="8" spans="2:8" ht="15" customHeight="1" x14ac:dyDescent="0.2">
      <c r="B8" s="221" t="s">
        <v>322</v>
      </c>
      <c r="C8" s="220"/>
      <c r="D8" s="220"/>
      <c r="E8" s="220"/>
      <c r="F8" s="133"/>
      <c r="G8" s="133"/>
      <c r="H8" s="133"/>
    </row>
    <row r="9" spans="2:8" ht="15" customHeight="1" x14ac:dyDescent="0.2">
      <c r="B9" s="222" t="s">
        <v>364</v>
      </c>
      <c r="C9" s="220"/>
      <c r="D9" s="220"/>
      <c r="E9" s="220"/>
      <c r="F9" s="133"/>
      <c r="G9" s="133"/>
      <c r="H9" s="133"/>
    </row>
    <row r="10" spans="2:8" x14ac:dyDescent="0.2">
      <c r="B10" s="26" t="s">
        <v>365</v>
      </c>
    </row>
    <row r="11" spans="2:8" x14ac:dyDescent="0.2">
      <c r="B11" s="26" t="s">
        <v>366</v>
      </c>
    </row>
    <row r="12" spans="2:8" ht="38.25" customHeight="1" x14ac:dyDescent="0.2">
      <c r="B12" s="267" t="s">
        <v>329</v>
      </c>
      <c r="C12" s="268"/>
      <c r="D12" s="268"/>
      <c r="E12" s="268"/>
    </row>
    <row r="13" spans="2:8" x14ac:dyDescent="0.2">
      <c r="B13" s="6" t="s">
        <v>323</v>
      </c>
    </row>
    <row r="14" spans="2:8" x14ac:dyDescent="0.2">
      <c r="B14" s="26" t="s">
        <v>324</v>
      </c>
    </row>
    <row r="15" spans="2:8" x14ac:dyDescent="0.2">
      <c r="B15" s="26" t="s">
        <v>327</v>
      </c>
    </row>
    <row r="16" spans="2:8" x14ac:dyDescent="0.2">
      <c r="B16" s="6" t="s">
        <v>328</v>
      </c>
    </row>
    <row r="17" spans="2:10" x14ac:dyDescent="0.2">
      <c r="B17" s="237" t="s">
        <v>344</v>
      </c>
    </row>
    <row r="18" spans="2:10" x14ac:dyDescent="0.2">
      <c r="B18" s="251" t="s">
        <v>345</v>
      </c>
    </row>
    <row r="19" spans="2:10" x14ac:dyDescent="0.2">
      <c r="B19" s="236" t="s">
        <v>343</v>
      </c>
      <c r="C19" s="238"/>
      <c r="D19" s="238"/>
      <c r="E19" s="238"/>
      <c r="F19" s="238"/>
    </row>
    <row r="20" spans="2:10" x14ac:dyDescent="0.2">
      <c r="B20" s="224"/>
    </row>
    <row r="21" spans="2:10" ht="13.5" thickBot="1" x14ac:dyDescent="0.25">
      <c r="B21" s="26" t="s">
        <v>321</v>
      </c>
      <c r="C21" s="132"/>
      <c r="D21" s="132"/>
      <c r="E21" s="132"/>
    </row>
    <row r="22" spans="2:10" ht="35.1" customHeight="1" thickBot="1" x14ac:dyDescent="0.25">
      <c r="B22" s="192"/>
      <c r="C22" s="260" t="s">
        <v>282</v>
      </c>
      <c r="D22" s="261"/>
      <c r="E22" s="262"/>
      <c r="F22" s="263" t="s">
        <v>264</v>
      </c>
      <c r="G22" s="264"/>
      <c r="H22" s="265"/>
    </row>
    <row r="23" spans="2:10" ht="26.25" thickBot="1" x14ac:dyDescent="0.25">
      <c r="B23" s="193" t="s">
        <v>185</v>
      </c>
      <c r="C23" s="172" t="s">
        <v>182</v>
      </c>
      <c r="D23" s="194" t="s">
        <v>183</v>
      </c>
      <c r="E23" s="195" t="s">
        <v>217</v>
      </c>
      <c r="F23" s="172" t="s">
        <v>182</v>
      </c>
      <c r="G23" s="194" t="s">
        <v>183</v>
      </c>
      <c r="H23" s="195" t="s">
        <v>217</v>
      </c>
    </row>
    <row r="24" spans="2:10" x14ac:dyDescent="0.2">
      <c r="B24" s="190" t="s">
        <v>3</v>
      </c>
      <c r="C24" s="145">
        <v>230</v>
      </c>
      <c r="D24" s="108">
        <f>C24</f>
        <v>230</v>
      </c>
      <c r="E24" s="146"/>
      <c r="F24" s="8">
        <f t="shared" ref="F24:F29" si="0">C24</f>
        <v>230</v>
      </c>
      <c r="G24" s="7">
        <f>F24</f>
        <v>230</v>
      </c>
      <c r="H24" s="146"/>
    </row>
    <row r="25" spans="2:10" x14ac:dyDescent="0.2">
      <c r="B25" s="184" t="str">
        <f>B302</f>
        <v>Antal årssøer</v>
      </c>
      <c r="C25" s="145">
        <v>900</v>
      </c>
      <c r="D25" s="239">
        <f>C25</f>
        <v>900</v>
      </c>
      <c r="E25" s="147">
        <f t="shared" ref="E25:E30" si="1">D25-C25</f>
        <v>0</v>
      </c>
      <c r="F25" s="8">
        <f t="shared" si="0"/>
        <v>900</v>
      </c>
      <c r="G25" s="7">
        <f>D25</f>
        <v>900</v>
      </c>
      <c r="H25" s="147">
        <f t="shared" ref="H25:H30" si="2">G25-F25</f>
        <v>0</v>
      </c>
    </row>
    <row r="26" spans="2:10" x14ac:dyDescent="0.2">
      <c r="B26" s="184" t="str">
        <f>B303</f>
        <v>Levendefødte per kuld</v>
      </c>
      <c r="C26" s="145">
        <v>16.5</v>
      </c>
      <c r="D26" s="239">
        <f>C26</f>
        <v>16.5</v>
      </c>
      <c r="E26" s="147">
        <f t="shared" si="1"/>
        <v>0</v>
      </c>
      <c r="F26" s="8">
        <f t="shared" si="0"/>
        <v>16.5</v>
      </c>
      <c r="G26" s="7">
        <f>D26</f>
        <v>16.5</v>
      </c>
      <c r="H26" s="147">
        <f t="shared" si="2"/>
        <v>0</v>
      </c>
    </row>
    <row r="27" spans="2:10" x14ac:dyDescent="0.2">
      <c r="B27" s="184" t="s">
        <v>266</v>
      </c>
      <c r="C27" s="148">
        <v>4</v>
      </c>
      <c r="D27" s="129">
        <f>C27</f>
        <v>4</v>
      </c>
      <c r="E27" s="147">
        <f t="shared" si="1"/>
        <v>0</v>
      </c>
      <c r="F27" s="8">
        <f t="shared" si="0"/>
        <v>4</v>
      </c>
      <c r="G27" s="7">
        <f>C27</f>
        <v>4</v>
      </c>
      <c r="H27" s="147">
        <f t="shared" si="2"/>
        <v>0</v>
      </c>
    </row>
    <row r="28" spans="2:10" x14ac:dyDescent="0.2">
      <c r="B28" s="184" t="s">
        <v>349</v>
      </c>
      <c r="C28" s="148">
        <v>7</v>
      </c>
      <c r="D28" s="129">
        <f>C28</f>
        <v>7</v>
      </c>
      <c r="E28" s="147">
        <f t="shared" si="1"/>
        <v>0</v>
      </c>
      <c r="F28" s="8">
        <f t="shared" si="0"/>
        <v>7</v>
      </c>
      <c r="G28" s="129">
        <f>D28</f>
        <v>7</v>
      </c>
      <c r="H28" s="147">
        <f t="shared" si="2"/>
        <v>0</v>
      </c>
      <c r="J28" s="5"/>
    </row>
    <row r="29" spans="2:10" x14ac:dyDescent="0.2">
      <c r="B29" s="184" t="s">
        <v>267</v>
      </c>
      <c r="C29" s="145">
        <v>13.5</v>
      </c>
      <c r="D29" s="111">
        <v>15.5</v>
      </c>
      <c r="E29" s="147">
        <f t="shared" si="1"/>
        <v>2</v>
      </c>
      <c r="F29" s="8">
        <f t="shared" si="0"/>
        <v>13.5</v>
      </c>
      <c r="G29" s="7">
        <f>D29</f>
        <v>15.5</v>
      </c>
      <c r="H29" s="147">
        <f t="shared" si="2"/>
        <v>2</v>
      </c>
    </row>
    <row r="30" spans="2:10" x14ac:dyDescent="0.2">
      <c r="B30" s="184" t="s">
        <v>318</v>
      </c>
      <c r="C30" s="149">
        <f>100*C26*(1-C27%)/C29-100</f>
        <v>17.333333333333329</v>
      </c>
      <c r="D30" s="150">
        <f>100*D26*(1-D27%)/D29-100</f>
        <v>2.1935483870967687</v>
      </c>
      <c r="E30" s="147">
        <f t="shared" si="1"/>
        <v>-15.13978494623656</v>
      </c>
      <c r="F30" s="151">
        <f>100*F26*(1-F27%)/F29-100</f>
        <v>17.333333333333329</v>
      </c>
      <c r="G30" s="23">
        <f>100*G26*(1-G27%)/G29-100</f>
        <v>2.1935483870967687</v>
      </c>
      <c r="H30" s="147">
        <f t="shared" si="2"/>
        <v>-15.13978494623656</v>
      </c>
    </row>
    <row r="31" spans="2:10" x14ac:dyDescent="0.2">
      <c r="B31" s="184" t="s">
        <v>330</v>
      </c>
      <c r="C31" s="213">
        <v>25</v>
      </c>
      <c r="D31" s="214">
        <v>100</v>
      </c>
      <c r="E31" s="147"/>
      <c r="F31" s="151">
        <f>C31</f>
        <v>25</v>
      </c>
      <c r="G31" s="23">
        <f>D31</f>
        <v>100</v>
      </c>
      <c r="H31" s="147"/>
    </row>
    <row r="32" spans="2:10" x14ac:dyDescent="0.2">
      <c r="B32" s="184" t="s">
        <v>348</v>
      </c>
      <c r="C32" s="225">
        <f>F32</f>
        <v>12.683333333333335</v>
      </c>
      <c r="D32" s="226">
        <f>G32</f>
        <v>11.000000000000002</v>
      </c>
      <c r="E32" s="147">
        <f t="shared" ref="E32:E43" si="3">D32-C32</f>
        <v>-1.6833333333333336</v>
      </c>
      <c r="F32" s="151">
        <f>C304</f>
        <v>12.683333333333335</v>
      </c>
      <c r="G32" s="23">
        <f>D304</f>
        <v>11.000000000000002</v>
      </c>
      <c r="H32" s="147">
        <f t="shared" ref="H32:H43" si="4">G32-F32</f>
        <v>-1.6833333333333336</v>
      </c>
    </row>
    <row r="33" spans="2:8" ht="13.5" thickBot="1" x14ac:dyDescent="0.25">
      <c r="B33" s="191" t="str">
        <f>B305</f>
        <v>Fravænnede per farekuld</v>
      </c>
      <c r="C33" s="197">
        <f>C26*(1-C32%)</f>
        <v>14.407249999999999</v>
      </c>
      <c r="D33" s="198">
        <f>D26*(1-D32%)</f>
        <v>14.685</v>
      </c>
      <c r="E33" s="199">
        <f t="shared" si="3"/>
        <v>0.27775000000000105</v>
      </c>
      <c r="F33" s="197">
        <f>F26*(1-F32%)</f>
        <v>14.407249999999999</v>
      </c>
      <c r="G33" s="198">
        <f>G26*(1-G32%)</f>
        <v>14.685</v>
      </c>
      <c r="H33" s="199">
        <f t="shared" si="4"/>
        <v>0.27775000000000105</v>
      </c>
    </row>
    <row r="34" spans="2:8" x14ac:dyDescent="0.2">
      <c r="B34" s="184" t="s">
        <v>127</v>
      </c>
      <c r="C34" s="227">
        <f>F34</f>
        <v>12.204826473926287</v>
      </c>
      <c r="D34" s="228">
        <f>G34</f>
        <v>13.905603027154443</v>
      </c>
      <c r="E34" s="147">
        <f t="shared" si="3"/>
        <v>1.700776553228156</v>
      </c>
      <c r="F34" s="151">
        <f>C282</f>
        <v>12.204826473926287</v>
      </c>
      <c r="G34" s="23">
        <f>D282</f>
        <v>13.905603027154443</v>
      </c>
      <c r="H34" s="147">
        <f t="shared" si="4"/>
        <v>1.700776553228156</v>
      </c>
    </row>
    <row r="35" spans="2:8" x14ac:dyDescent="0.2">
      <c r="B35" s="184" t="s">
        <v>268</v>
      </c>
      <c r="C35" s="151">
        <f>(C33/C34)*100-100-C30</f>
        <v>0.71217948717949753</v>
      </c>
      <c r="D35" s="23">
        <f>(D33/D34)*100-100-D30</f>
        <v>3.4113647642680007</v>
      </c>
      <c r="E35" s="147">
        <f t="shared" si="3"/>
        <v>2.6991852770885032</v>
      </c>
      <c r="F35" s="151">
        <f>(F33/F34)*100-100-F30</f>
        <v>0.71217948717949753</v>
      </c>
      <c r="G35" s="23">
        <f>(G33/G34)*100-100-G30</f>
        <v>3.4113647642680007</v>
      </c>
      <c r="H35" s="147">
        <f t="shared" si="4"/>
        <v>2.6991852770885032</v>
      </c>
    </row>
    <row r="36" spans="2:8" x14ac:dyDescent="0.2">
      <c r="B36" s="184" t="s">
        <v>355</v>
      </c>
      <c r="C36" s="145">
        <v>26</v>
      </c>
      <c r="D36" s="239">
        <f>C36</f>
        <v>26</v>
      </c>
      <c r="E36" s="147">
        <f t="shared" si="3"/>
        <v>0</v>
      </c>
      <c r="F36" s="8">
        <f>C36</f>
        <v>26</v>
      </c>
      <c r="G36" s="7">
        <f>D36</f>
        <v>26</v>
      </c>
      <c r="H36" s="147">
        <f t="shared" si="4"/>
        <v>0</v>
      </c>
    </row>
    <row r="37" spans="2:8" x14ac:dyDescent="0.2">
      <c r="B37" s="184" t="s">
        <v>237</v>
      </c>
      <c r="C37" s="227">
        <f>F37</f>
        <v>29.707657051282052</v>
      </c>
      <c r="D37" s="228">
        <f>G37</f>
        <v>26.784724813895782</v>
      </c>
      <c r="E37" s="147">
        <f t="shared" si="3"/>
        <v>-2.9229322373862701</v>
      </c>
      <c r="F37" s="12">
        <f>C291</f>
        <v>29.707657051282052</v>
      </c>
      <c r="G37" s="24">
        <f>D291</f>
        <v>26.784724813895782</v>
      </c>
      <c r="H37" s="147">
        <f t="shared" si="4"/>
        <v>-2.9229322373862701</v>
      </c>
    </row>
    <row r="38" spans="2:8" x14ac:dyDescent="0.2">
      <c r="B38" s="184" t="s">
        <v>314</v>
      </c>
      <c r="C38" s="153">
        <f>100*C37*C41*C25/(365*C24)</f>
        <v>74.946237915576148</v>
      </c>
      <c r="D38" s="109">
        <f>100*D37*D41*D25/(365*D24)</f>
        <v>68.870113526963451</v>
      </c>
      <c r="E38" s="147">
        <f t="shared" si="3"/>
        <v>-6.0761243886126977</v>
      </c>
      <c r="F38" s="12">
        <f>100*F37*F41*F25/(365*F24)</f>
        <v>74.946237915576148</v>
      </c>
      <c r="G38" s="24">
        <f>100*G37*G41*G25/(365*G24)</f>
        <v>68.870113526963451</v>
      </c>
      <c r="H38" s="147">
        <f t="shared" si="4"/>
        <v>-6.0761243886126977</v>
      </c>
    </row>
    <row r="39" spans="2:8" x14ac:dyDescent="0.2">
      <c r="B39" s="185" t="s">
        <v>26</v>
      </c>
      <c r="C39" s="152">
        <v>9.4</v>
      </c>
      <c r="D39" s="240">
        <v>9.4</v>
      </c>
      <c r="E39" s="147">
        <f t="shared" si="3"/>
        <v>0</v>
      </c>
      <c r="F39" s="151">
        <f>C39</f>
        <v>9.4</v>
      </c>
      <c r="G39" s="23">
        <f>D39</f>
        <v>9.4</v>
      </c>
      <c r="H39" s="147">
        <f t="shared" si="4"/>
        <v>0</v>
      </c>
    </row>
    <row r="40" spans="2:8" x14ac:dyDescent="0.2">
      <c r="B40" s="185" t="s">
        <v>338</v>
      </c>
      <c r="C40" s="148">
        <f>116</f>
        <v>116</v>
      </c>
      <c r="D40" s="141">
        <f>C40</f>
        <v>116</v>
      </c>
      <c r="E40" s="147">
        <f t="shared" si="3"/>
        <v>0</v>
      </c>
      <c r="F40" s="163">
        <f>C40</f>
        <v>116</v>
      </c>
      <c r="G40" s="129">
        <f>C40</f>
        <v>116</v>
      </c>
      <c r="H40" s="147">
        <f t="shared" si="4"/>
        <v>0</v>
      </c>
    </row>
    <row r="41" spans="2:8" x14ac:dyDescent="0.2">
      <c r="B41" s="186" t="str">
        <f>B306</f>
        <v>Kuld per årsso</v>
      </c>
      <c r="C41" s="164">
        <f>365/(C37+C39+C40)</f>
        <v>2.3532042643086464</v>
      </c>
      <c r="D41" s="165">
        <f>365/(D37+D39+D40)</f>
        <v>2.398401025111768</v>
      </c>
      <c r="E41" s="166">
        <f t="shared" si="3"/>
        <v>4.5196760803121627E-2</v>
      </c>
      <c r="F41" s="164">
        <f>365/(F37+F39+F40)</f>
        <v>2.3532042643086464</v>
      </c>
      <c r="G41" s="165">
        <f>365/(G37+G39+G40)</f>
        <v>2.398401025111768</v>
      </c>
      <c r="H41" s="166">
        <f t="shared" si="4"/>
        <v>4.5196760803121627E-2</v>
      </c>
    </row>
    <row r="42" spans="2:8" ht="12.75" customHeight="1" x14ac:dyDescent="0.2">
      <c r="B42" s="184" t="str">
        <f>B307</f>
        <v>Fravænnede grise per årsso</v>
      </c>
      <c r="C42" s="151">
        <f>C33*C41</f>
        <v>33.903202136960743</v>
      </c>
      <c r="D42" s="23">
        <f>D33*D41</f>
        <v>35.220519053766317</v>
      </c>
      <c r="E42" s="147">
        <f t="shared" si="3"/>
        <v>1.3173169168055736</v>
      </c>
      <c r="F42" s="151">
        <f>C307</f>
        <v>33.903202136960743</v>
      </c>
      <c r="G42" s="23">
        <f>D307</f>
        <v>35.220519053766317</v>
      </c>
      <c r="H42" s="147">
        <f t="shared" si="4"/>
        <v>1.3173169168055736</v>
      </c>
    </row>
    <row r="43" spans="2:8" ht="12.75" customHeight="1" x14ac:dyDescent="0.2">
      <c r="B43" s="184" t="s">
        <v>283</v>
      </c>
      <c r="C43" s="151">
        <f>C41*C37</f>
        <v>69.908185255695756</v>
      </c>
      <c r="D43" s="23">
        <f>D41*D37</f>
        <v>64.240511450984258</v>
      </c>
      <c r="E43" s="147">
        <f t="shared" si="3"/>
        <v>-5.6676738047114981</v>
      </c>
      <c r="F43" s="163">
        <f>F37*F41</f>
        <v>69.908185255695756</v>
      </c>
      <c r="G43" s="129">
        <f>G37*G41</f>
        <v>64.240511450984258</v>
      </c>
      <c r="H43" s="147">
        <f t="shared" si="4"/>
        <v>-5.6676738047114981</v>
      </c>
    </row>
    <row r="44" spans="2:8" ht="12.75" customHeight="1" x14ac:dyDescent="0.2">
      <c r="B44" s="184" t="s">
        <v>310</v>
      </c>
      <c r="C44" s="205">
        <v>26</v>
      </c>
      <c r="D44" s="206">
        <f>C44</f>
        <v>26</v>
      </c>
      <c r="E44" s="202"/>
      <c r="F44" s="207">
        <f>C44</f>
        <v>26</v>
      </c>
      <c r="G44" s="206">
        <f>C44</f>
        <v>26</v>
      </c>
      <c r="H44" s="202"/>
    </row>
    <row r="45" spans="2:8" ht="12.75" customHeight="1" x14ac:dyDescent="0.2">
      <c r="B45" s="184" t="s">
        <v>346</v>
      </c>
      <c r="C45" s="229">
        <f>F45</f>
        <v>720.79858917234662</v>
      </c>
      <c r="D45" s="230">
        <f>G45</f>
        <v>732.00829406404273</v>
      </c>
      <c r="E45" s="147">
        <f>D45-C45</f>
        <v>11.209704891696106</v>
      </c>
      <c r="F45" s="163">
        <f>C332</f>
        <v>720.79858917234662</v>
      </c>
      <c r="G45" s="129">
        <f>D332</f>
        <v>732.00829406404273</v>
      </c>
      <c r="H45" s="147">
        <f>G45-F45</f>
        <v>11.209704891696106</v>
      </c>
    </row>
    <row r="46" spans="2:8" ht="12.75" customHeight="1" x14ac:dyDescent="0.2">
      <c r="B46" s="184" t="s">
        <v>347</v>
      </c>
      <c r="C46" s="229">
        <f>F46</f>
        <v>590.27274596417362</v>
      </c>
      <c r="D46" s="230">
        <f>G46</f>
        <v>559.30931914030839</v>
      </c>
      <c r="E46" s="147">
        <f>D46-C46</f>
        <v>-30.963426823865234</v>
      </c>
      <c r="F46" s="163">
        <f>C331</f>
        <v>590.27274596417362</v>
      </c>
      <c r="G46" s="129">
        <f>D331</f>
        <v>559.30931914030839</v>
      </c>
      <c r="H46" s="147">
        <f>G46-F46</f>
        <v>-30.963426823865234</v>
      </c>
    </row>
    <row r="47" spans="2:8" ht="12.75" customHeight="1" x14ac:dyDescent="0.2">
      <c r="B47" s="184" t="s">
        <v>311</v>
      </c>
      <c r="C47" s="241">
        <f>SUM(C45:C46)</f>
        <v>1311.0713351365202</v>
      </c>
      <c r="D47" s="242">
        <f>SUM(D45:D46)</f>
        <v>1291.3176132043511</v>
      </c>
      <c r="E47" s="147">
        <f>D47-C47</f>
        <v>-19.753721932169128</v>
      </c>
      <c r="F47" s="12">
        <f>SUM(F45:F46)</f>
        <v>1311.0713351365202</v>
      </c>
      <c r="G47" s="24">
        <f>SUM(G45:G46)</f>
        <v>1291.3176132043511</v>
      </c>
      <c r="H47" s="168">
        <f>G47-F47</f>
        <v>-19.753721932169128</v>
      </c>
    </row>
    <row r="48" spans="2:8" ht="12.75" customHeight="1" x14ac:dyDescent="0.2">
      <c r="B48" s="184" t="s">
        <v>271</v>
      </c>
      <c r="C48" s="200">
        <v>1.5</v>
      </c>
      <c r="D48" s="201">
        <f>C48</f>
        <v>1.5</v>
      </c>
      <c r="E48" s="202"/>
      <c r="F48" s="203">
        <f>C48</f>
        <v>1.5</v>
      </c>
      <c r="G48" s="204">
        <f>D48</f>
        <v>1.5</v>
      </c>
      <c r="H48" s="202"/>
    </row>
    <row r="49" spans="2:9" ht="12.75" customHeight="1" x14ac:dyDescent="0.2">
      <c r="B49" s="184" t="s">
        <v>272</v>
      </c>
      <c r="C49" s="200">
        <v>1.5</v>
      </c>
      <c r="D49" s="201">
        <f>C49</f>
        <v>1.5</v>
      </c>
      <c r="E49" s="202"/>
      <c r="F49" s="203">
        <f>C49</f>
        <v>1.5</v>
      </c>
      <c r="G49" s="204">
        <f>D49</f>
        <v>1.5</v>
      </c>
      <c r="H49" s="202"/>
    </row>
    <row r="50" spans="2:9" ht="12.75" customHeight="1" x14ac:dyDescent="0.2">
      <c r="B50" s="184" t="s">
        <v>279</v>
      </c>
      <c r="C50" s="231">
        <f>C41*SUM($C$172:$C$173)+(C30%*$C$174)*C41+(C35%*$C$175)*C41</f>
        <v>8.2090286277382738</v>
      </c>
      <c r="D50" s="232">
        <f>D41*SUM($C$172:$C$173)+(D30%*$C$174)*D41+(D35%*$C$175)*D41</f>
        <v>8.2013230807503632</v>
      </c>
      <c r="E50" s="202">
        <f>D50-C50</f>
        <v>-7.7055469879105942E-3</v>
      </c>
      <c r="F50" s="212">
        <f>F41*SUM($C$172:$C$173)+(F30%*$C$174)*F41+(F35%*$C$175)*F41</f>
        <v>8.2090286277382738</v>
      </c>
      <c r="G50" s="211">
        <f>G41*SUM($C$172:$C$173)+(G30%*$C$174)*G41+(G35%*$C$175)*G41</f>
        <v>8.2013230807503632</v>
      </c>
      <c r="H50" s="202">
        <f>G50-F50</f>
        <v>-7.7055469879105942E-3</v>
      </c>
    </row>
    <row r="51" spans="2:9" ht="12.75" customHeight="1" x14ac:dyDescent="0.2">
      <c r="B51" s="184" t="s">
        <v>280</v>
      </c>
      <c r="C51" s="154">
        <v>150</v>
      </c>
      <c r="D51" s="129">
        <f>C51</f>
        <v>150</v>
      </c>
      <c r="E51" s="147"/>
      <c r="F51" s="163">
        <f>C51</f>
        <v>150</v>
      </c>
      <c r="G51" s="129">
        <f>C51</f>
        <v>150</v>
      </c>
      <c r="H51" s="147"/>
    </row>
    <row r="52" spans="2:9" x14ac:dyDescent="0.2">
      <c r="B52" s="186" t="s">
        <v>270</v>
      </c>
      <c r="C52" s="8"/>
      <c r="D52" s="7"/>
      <c r="E52" s="147"/>
      <c r="F52" s="8"/>
      <c r="G52" s="7"/>
      <c r="H52" s="147"/>
    </row>
    <row r="53" spans="2:9" x14ac:dyDescent="0.2">
      <c r="B53" s="184" t="s">
        <v>261</v>
      </c>
      <c r="C53" s="8"/>
      <c r="D53" s="111">
        <v>1.78</v>
      </c>
      <c r="E53" s="147"/>
      <c r="F53" s="8"/>
      <c r="G53" s="7">
        <f>D53</f>
        <v>1.78</v>
      </c>
      <c r="H53" s="147"/>
      <c r="I53" s="26" t="s">
        <v>4</v>
      </c>
    </row>
    <row r="54" spans="2:9" x14ac:dyDescent="0.2">
      <c r="B54" s="184" t="s">
        <v>262</v>
      </c>
      <c r="C54" s="8"/>
      <c r="D54" s="111">
        <v>1.47</v>
      </c>
      <c r="E54" s="147"/>
      <c r="F54" s="8"/>
      <c r="G54" s="7">
        <f>D54</f>
        <v>1.47</v>
      </c>
      <c r="H54" s="147"/>
    </row>
    <row r="55" spans="2:9" x14ac:dyDescent="0.2">
      <c r="B55" s="184" t="s">
        <v>258</v>
      </c>
      <c r="C55" s="8"/>
      <c r="D55" s="56">
        <v>16.309999999999999</v>
      </c>
      <c r="E55" s="147"/>
      <c r="F55" s="8"/>
      <c r="G55" s="23">
        <f>D55</f>
        <v>16.309999999999999</v>
      </c>
      <c r="H55" s="147"/>
      <c r="I55" s="26" t="s">
        <v>4</v>
      </c>
    </row>
    <row r="56" spans="2:9" x14ac:dyDescent="0.2">
      <c r="B56" s="184" t="s">
        <v>259</v>
      </c>
      <c r="C56" s="8"/>
      <c r="D56" s="56">
        <v>12</v>
      </c>
      <c r="E56" s="147"/>
      <c r="F56" s="8"/>
      <c r="G56" s="23">
        <f>D56</f>
        <v>12</v>
      </c>
      <c r="H56" s="147"/>
    </row>
    <row r="57" spans="2:9" x14ac:dyDescent="0.2">
      <c r="B57" s="184" t="s">
        <v>255</v>
      </c>
      <c r="C57" s="8"/>
      <c r="D57" s="230">
        <f>G57</f>
        <v>162.48923975038019</v>
      </c>
      <c r="E57" s="147"/>
      <c r="F57" s="8"/>
      <c r="G57" s="129">
        <f>1000*D341/G42</f>
        <v>162.48923975038019</v>
      </c>
      <c r="H57" s="147"/>
    </row>
    <row r="58" spans="2:9" x14ac:dyDescent="0.2">
      <c r="B58" s="184" t="s">
        <v>256</v>
      </c>
      <c r="C58" s="8"/>
      <c r="D58" s="230">
        <f t="shared" ref="C58:D60" si="5">G58</f>
        <v>761.62318347735857</v>
      </c>
      <c r="E58" s="147"/>
      <c r="F58" s="8"/>
      <c r="G58" s="129">
        <f>1000*D342/G42</f>
        <v>761.62318347735857</v>
      </c>
      <c r="H58" s="147"/>
    </row>
    <row r="59" spans="2:9" x14ac:dyDescent="0.2">
      <c r="B59" s="184" t="str">
        <f>B308</f>
        <v>Fravænningsvægt som følge af somælk</v>
      </c>
      <c r="C59" s="227">
        <f t="shared" si="5"/>
        <v>6.8334707609625678</v>
      </c>
      <c r="D59" s="228">
        <f>G59</f>
        <v>6.2009888101421602</v>
      </c>
      <c r="E59" s="147">
        <f>D59-C59</f>
        <v>-0.63248195082040759</v>
      </c>
      <c r="F59" s="151">
        <f>C308</f>
        <v>6.8334707609625678</v>
      </c>
      <c r="G59" s="23">
        <f>D308</f>
        <v>6.2009888101421602</v>
      </c>
      <c r="H59" s="147">
        <f>G59-F59</f>
        <v>-0.63248195082040759</v>
      </c>
    </row>
    <row r="60" spans="2:9" x14ac:dyDescent="0.2">
      <c r="B60" s="184" t="s">
        <v>276</v>
      </c>
      <c r="C60" s="210"/>
      <c r="D60" s="228">
        <f t="shared" si="5"/>
        <v>1.0370863042778145</v>
      </c>
      <c r="E60" s="147">
        <f>D60-C60</f>
        <v>1.0370863042778145</v>
      </c>
      <c r="F60" s="151">
        <v>0</v>
      </c>
      <c r="G60" s="23">
        <f>D309</f>
        <v>1.0370863042778145</v>
      </c>
      <c r="H60" s="147">
        <f>G60-F60</f>
        <v>1.0370863042778145</v>
      </c>
    </row>
    <row r="61" spans="2:9" x14ac:dyDescent="0.2">
      <c r="B61" s="186" t="str">
        <f>B310</f>
        <v>Salgsvægt ved fravænning</v>
      </c>
      <c r="C61" s="243">
        <f>SUM(C59:C60)</f>
        <v>6.8334707609625678</v>
      </c>
      <c r="D61" s="244">
        <f>SUM(D59:D60)</f>
        <v>7.2380751144199742</v>
      </c>
      <c r="E61" s="147">
        <f>D61-C61</f>
        <v>0.40460435345740642</v>
      </c>
      <c r="F61" s="151">
        <f>SUM(F59:F60)</f>
        <v>6.8334707609625678</v>
      </c>
      <c r="G61" s="23">
        <f>SUM(G59:G60)</f>
        <v>7.2380751144199742</v>
      </c>
      <c r="H61" s="147">
        <f>G61-F61</f>
        <v>0.40460435345740642</v>
      </c>
    </row>
    <row r="62" spans="2:9" x14ac:dyDescent="0.2">
      <c r="B62" s="186" t="s">
        <v>253</v>
      </c>
      <c r="C62" s="208">
        <f>VLOOKUP(C61,$B$146:$E$151,4,TRUE)-(VLOOKUP(C61,$B$146:$C$151,2,TRUE)-C61)*VLOOKUP(C61,$B$146:$D$151,3,TRUE)</f>
        <v>235.09531778829947</v>
      </c>
      <c r="D62" s="209">
        <f>VLOOKUP(D61,$B$146:$E$151,4,TRUE)-(VLOOKUP(D61,$B$146:$C$151,2,TRUE)-D61)*VLOOKUP(D61,$B$146:$D$151,3,TRUE)</f>
        <v>240.2235793089645</v>
      </c>
      <c r="E62" s="147">
        <f>D62-C62</f>
        <v>5.1282615206650348</v>
      </c>
      <c r="F62" s="151">
        <f>VLOOKUP(F61,$B$146:$E$151,4,TRUE)-(VLOOKUP(F61,$B$146:$C$151,2,TRUE)-F61)*VLOOKUP(F61,$B$146:$D$151,3,TRUE)</f>
        <v>235.09531778829947</v>
      </c>
      <c r="G62" s="23">
        <f>VLOOKUP(G61,$B$146:$E$151,4,TRUE)-(VLOOKUP(G61,$B$146:$C$151,2,TRUE)-G61)*VLOOKUP(G61,$B$146:$D$151,3,TRUE)</f>
        <v>240.2235793089645</v>
      </c>
      <c r="H62" s="147">
        <f>G62-F62</f>
        <v>5.1282615206650348</v>
      </c>
    </row>
    <row r="63" spans="2:9" x14ac:dyDescent="0.2">
      <c r="B63" s="184" t="s">
        <v>250</v>
      </c>
      <c r="C63" s="145">
        <v>0</v>
      </c>
      <c r="D63" s="239">
        <f>C63</f>
        <v>0</v>
      </c>
      <c r="E63" s="147"/>
      <c r="F63" s="151">
        <f>C63</f>
        <v>0</v>
      </c>
      <c r="G63" s="23">
        <f>D63</f>
        <v>0</v>
      </c>
      <c r="H63" s="147"/>
    </row>
    <row r="64" spans="2:9" x14ac:dyDescent="0.2">
      <c r="B64" s="184" t="s">
        <v>281</v>
      </c>
      <c r="C64" s="12">
        <f>SUM(C62:C63)</f>
        <v>235.09531778829947</v>
      </c>
      <c r="D64" s="24">
        <f>SUM(D62:D63)</f>
        <v>240.2235793089645</v>
      </c>
      <c r="E64" s="147">
        <f>D64-C64</f>
        <v>5.1282615206650348</v>
      </c>
      <c r="F64" s="12">
        <f>SUM(F62:F63)</f>
        <v>235.09531778829947</v>
      </c>
      <c r="G64" s="24">
        <f>SUM(G62:G63)</f>
        <v>240.2235793089645</v>
      </c>
      <c r="H64" s="147">
        <f>G64-F64</f>
        <v>5.1282615206650348</v>
      </c>
    </row>
    <row r="65" spans="2:8" ht="25.5" x14ac:dyDescent="0.2">
      <c r="B65" s="190" t="s">
        <v>275</v>
      </c>
      <c r="C65" s="144" t="str">
        <f>C23</f>
        <v>Uden mælkekopper</v>
      </c>
      <c r="D65" s="139" t="str">
        <f>D23</f>
        <v>Med mælkekopper</v>
      </c>
      <c r="E65" s="146" t="s">
        <v>184</v>
      </c>
      <c r="F65" s="144" t="str">
        <f>C23</f>
        <v>Uden mælkekopper</v>
      </c>
      <c r="G65" s="139" t="str">
        <f>D23</f>
        <v>Med mælkekopper</v>
      </c>
      <c r="H65" s="146" t="s">
        <v>184</v>
      </c>
    </row>
    <row r="66" spans="2:8" x14ac:dyDescent="0.2">
      <c r="B66" s="188" t="s">
        <v>153</v>
      </c>
      <c r="C66" s="155">
        <f>SUM(C62:C63)*C42</f>
        <v>7970.4840804297401</v>
      </c>
      <c r="D66" s="33">
        <f>SUM(D62:D63)*D42</f>
        <v>8460.7991522153279</v>
      </c>
      <c r="E66" s="147">
        <f>D66-C66</f>
        <v>490.31507178558786</v>
      </c>
      <c r="F66" s="155">
        <f>SUM(F62:F63)*F42</f>
        <v>7970.4840804297401</v>
      </c>
      <c r="G66" s="33">
        <f>SUM(G62:G63)*G42</f>
        <v>8460.7991522153279</v>
      </c>
      <c r="H66" s="147">
        <f>G66-F66</f>
        <v>490.31507178558786</v>
      </c>
    </row>
    <row r="67" spans="2:8" x14ac:dyDescent="0.2">
      <c r="B67" s="188" t="s">
        <v>154</v>
      </c>
      <c r="C67" s="155">
        <f>C48*C45+C46*C49</f>
        <v>1966.6070027047804</v>
      </c>
      <c r="D67" s="33">
        <f>D48*D45+D46*D49</f>
        <v>1936.9764198065268</v>
      </c>
      <c r="E67" s="147">
        <f t="shared" ref="E67:E76" si="6">D67-C67</f>
        <v>-29.630582898253579</v>
      </c>
      <c r="F67" s="155">
        <f>F48*F45+F46*F49</f>
        <v>1966.6070027047804</v>
      </c>
      <c r="G67" s="33">
        <f>G48*G45+G46*G49</f>
        <v>1936.9764198065268</v>
      </c>
      <c r="H67" s="147">
        <f t="shared" ref="H67:H76" si="7">G67-F67</f>
        <v>-29.630582898253579</v>
      </c>
    </row>
    <row r="68" spans="2:8" x14ac:dyDescent="0.2">
      <c r="B68" s="188" t="s">
        <v>155</v>
      </c>
      <c r="C68" s="8">
        <f>((C57/1000)*C55+(C58/1000)*C56)*C42</f>
        <v>0</v>
      </c>
      <c r="D68" s="129">
        <f>((D57/1000)*D55+(D58/1000)*D56)*D42</f>
        <v>415.23856814306254</v>
      </c>
      <c r="E68" s="147">
        <f t="shared" si="6"/>
        <v>415.23856814306254</v>
      </c>
      <c r="F68" s="155"/>
      <c r="G68" s="129">
        <f>((G57/1000)*G55+(G58/1000)*G56)*G42</f>
        <v>415.23856814306254</v>
      </c>
      <c r="H68" s="147">
        <f t="shared" si="7"/>
        <v>415.23856814306254</v>
      </c>
    </row>
    <row r="69" spans="2:8" x14ac:dyDescent="0.2">
      <c r="B69" s="184" t="s">
        <v>331</v>
      </c>
      <c r="C69" s="8"/>
      <c r="D69" s="142">
        <f>G69</f>
        <v>33</v>
      </c>
      <c r="E69" s="147">
        <f t="shared" si="6"/>
        <v>33</v>
      </c>
      <c r="F69" s="155"/>
      <c r="G69" s="129">
        <f>D316/D302</f>
        <v>33</v>
      </c>
      <c r="H69" s="147">
        <f t="shared" si="7"/>
        <v>33</v>
      </c>
    </row>
    <row r="70" spans="2:8" x14ac:dyDescent="0.2">
      <c r="B70" s="188" t="s">
        <v>228</v>
      </c>
      <c r="C70" s="8"/>
      <c r="D70" s="142">
        <f>G70</f>
        <v>1.3720400728597448</v>
      </c>
      <c r="E70" s="147">
        <f t="shared" si="6"/>
        <v>1.3720400728597448</v>
      </c>
      <c r="F70" s="8"/>
      <c r="G70" s="129">
        <f>C167*D24/D25</f>
        <v>1.3720400728597448</v>
      </c>
      <c r="H70" s="147">
        <f t="shared" si="7"/>
        <v>1.3720400728597448</v>
      </c>
    </row>
    <row r="71" spans="2:8" x14ac:dyDescent="0.2">
      <c r="B71" s="188" t="s">
        <v>230</v>
      </c>
      <c r="C71" s="8"/>
      <c r="D71" s="142">
        <f>G71</f>
        <v>9.9107804994799373</v>
      </c>
      <c r="E71" s="147">
        <f t="shared" si="6"/>
        <v>9.9107804994799373</v>
      </c>
      <c r="F71" s="8"/>
      <c r="G71" s="129">
        <f>C169*1.16*(C168-10)*D317/1000</f>
        <v>9.9107804994799373</v>
      </c>
      <c r="H71" s="147">
        <f t="shared" si="7"/>
        <v>9.9107804994799373</v>
      </c>
    </row>
    <row r="72" spans="2:8" x14ac:dyDescent="0.2">
      <c r="B72" s="184" t="s">
        <v>273</v>
      </c>
      <c r="C72" s="8"/>
      <c r="D72" s="142">
        <f>G72</f>
        <v>4.8821578815172098</v>
      </c>
      <c r="E72" s="147">
        <f t="shared" si="6"/>
        <v>4.8821578815172098</v>
      </c>
      <c r="F72" s="8"/>
      <c r="G72" s="129">
        <f>C169*C166*(D318/1000)</f>
        <v>4.8821578815172098</v>
      </c>
      <c r="H72" s="147">
        <f t="shared" si="7"/>
        <v>4.8821578815172098</v>
      </c>
    </row>
    <row r="73" spans="2:8" x14ac:dyDescent="0.2">
      <c r="B73" s="188" t="s">
        <v>229</v>
      </c>
      <c r="C73" s="156">
        <f>C50*C51</f>
        <v>1231.3542941607411</v>
      </c>
      <c r="D73" s="142">
        <f>D50*D51</f>
        <v>1230.1984621125546</v>
      </c>
      <c r="E73" s="147">
        <f>D73-C73</f>
        <v>-1.1558320481865394</v>
      </c>
      <c r="F73" s="178">
        <f>F50*F51</f>
        <v>1231.3542941607411</v>
      </c>
      <c r="G73" s="179">
        <f>G50*G51</f>
        <v>1230.1984621125546</v>
      </c>
      <c r="H73" s="147">
        <f>G73-F73</f>
        <v>-1.1558320481865394</v>
      </c>
    </row>
    <row r="74" spans="2:8" x14ac:dyDescent="0.2">
      <c r="B74" s="184" t="s">
        <v>244</v>
      </c>
      <c r="C74" s="156">
        <f>F74</f>
        <v>1660.2779999999998</v>
      </c>
      <c r="D74" s="142">
        <f>G74</f>
        <v>1660.2779999999998</v>
      </c>
      <c r="E74" s="147">
        <f t="shared" si="6"/>
        <v>0</v>
      </c>
      <c r="F74" s="178">
        <f>((5.25+10.25+1.75+12.6+8.45)+(7.5+1.65+1.55+3.21))*31.8</f>
        <v>1660.2779999999998</v>
      </c>
      <c r="G74" s="179">
        <f>((5.25+10.25+1.75+12.6+8.45)+(7.5+1.65+1.55+3.21))*31.8</f>
        <v>1660.2779999999998</v>
      </c>
      <c r="H74" s="147">
        <f t="shared" si="7"/>
        <v>0</v>
      </c>
    </row>
    <row r="75" spans="2:8" x14ac:dyDescent="0.2">
      <c r="B75" s="188" t="s">
        <v>156</v>
      </c>
      <c r="C75" s="157"/>
      <c r="D75" s="33">
        <f>(PMT($C163,$C162,D24*$C$161)*-1)/D25</f>
        <v>43.494020942003701</v>
      </c>
      <c r="E75" s="147">
        <f t="shared" si="6"/>
        <v>43.494020942003701</v>
      </c>
      <c r="F75" s="155"/>
      <c r="G75" s="33">
        <f>(PMT($C163,$C162,G24*$C$161)*-1)/G25</f>
        <v>43.494020942003701</v>
      </c>
      <c r="H75" s="147">
        <f t="shared" si="7"/>
        <v>43.494020942003701</v>
      </c>
    </row>
    <row r="76" spans="2:8" ht="13.5" thickBot="1" x14ac:dyDescent="0.25">
      <c r="B76" s="189" t="s">
        <v>316</v>
      </c>
      <c r="C76" s="158">
        <f>C66-SUM(C67:C75)</f>
        <v>3112.2447835642188</v>
      </c>
      <c r="D76" s="61">
        <f>D66-SUM(D67:D75)</f>
        <v>3125.4487027573232</v>
      </c>
      <c r="E76" s="159">
        <f t="shared" si="6"/>
        <v>13.203919193104412</v>
      </c>
      <c r="F76" s="158">
        <f>F66-SUM(F67:F75)</f>
        <v>3112.2447835642188</v>
      </c>
      <c r="G76" s="61">
        <f>G66-SUM(G67:G75)</f>
        <v>3125.4487027573232</v>
      </c>
      <c r="H76" s="159">
        <f t="shared" si="7"/>
        <v>13.203919193104412</v>
      </c>
    </row>
    <row r="77" spans="2:8" x14ac:dyDescent="0.2">
      <c r="B77" s="184" t="s">
        <v>178</v>
      </c>
      <c r="C77" s="8"/>
      <c r="D77" s="7"/>
      <c r="E77" s="160">
        <f>D25-C25</f>
        <v>0</v>
      </c>
      <c r="F77" s="8"/>
      <c r="G77" s="7"/>
      <c r="H77" s="160">
        <f>G25-F25</f>
        <v>0</v>
      </c>
    </row>
    <row r="78" spans="2:8" ht="13.5" thickBot="1" x14ac:dyDescent="0.25">
      <c r="B78" s="189" t="s">
        <v>317</v>
      </c>
      <c r="C78" s="161"/>
      <c r="D78" s="66"/>
      <c r="E78" s="162">
        <f>D25*D76-C25*C76</f>
        <v>11883.52727379417</v>
      </c>
      <c r="F78" s="161"/>
      <c r="G78" s="66"/>
      <c r="H78" s="162">
        <f>G25*G76-F25*F76</f>
        <v>11883.52727379417</v>
      </c>
    </row>
    <row r="80" spans="2:8" x14ac:dyDescent="0.2">
      <c r="B80" s="51" t="str">
        <f xml:space="preserve"> "Beregnet af: " &amp;C$2</f>
        <v>Beregnet af: MGC@seges.dk</v>
      </c>
      <c r="F80" s="51" t="str">
        <f>"For: "&amp;C$3</f>
        <v>For: L.L</v>
      </c>
    </row>
    <row r="81" spans="2:5" ht="20.25" x14ac:dyDescent="0.3">
      <c r="B81" s="170" t="s">
        <v>289</v>
      </c>
    </row>
    <row r="83" spans="2:5" ht="13.5" thickBot="1" x14ac:dyDescent="0.25">
      <c r="B83" s="6" t="s">
        <v>290</v>
      </c>
    </row>
    <row r="84" spans="2:5" ht="15" x14ac:dyDescent="0.2">
      <c r="B84" s="67"/>
      <c r="C84" s="76" t="s">
        <v>13</v>
      </c>
      <c r="D84" s="77" t="s">
        <v>14</v>
      </c>
      <c r="E84" s="78" t="s">
        <v>74</v>
      </c>
    </row>
    <row r="85" spans="2:5" ht="15" x14ac:dyDescent="0.2">
      <c r="B85" s="71" t="s">
        <v>73</v>
      </c>
      <c r="C85" s="62">
        <v>0</v>
      </c>
      <c r="D85" s="63">
        <v>9</v>
      </c>
      <c r="E85" s="79">
        <v>4</v>
      </c>
    </row>
    <row r="86" spans="2:5" ht="15" x14ac:dyDescent="0.2">
      <c r="B86" s="71" t="s">
        <v>15</v>
      </c>
      <c r="C86" s="62">
        <f>D85</f>
        <v>9</v>
      </c>
      <c r="D86" s="63">
        <v>12</v>
      </c>
      <c r="E86" s="79">
        <v>2.86</v>
      </c>
    </row>
    <row r="87" spans="2:5" ht="15" x14ac:dyDescent="0.2">
      <c r="B87" s="71" t="s">
        <v>16</v>
      </c>
      <c r="C87" s="62">
        <f>D86</f>
        <v>12</v>
      </c>
      <c r="D87" s="63">
        <v>25</v>
      </c>
      <c r="E87" s="79">
        <v>1.89</v>
      </c>
    </row>
    <row r="88" spans="2:5" ht="15.75" thickBot="1" x14ac:dyDescent="0.25">
      <c r="B88" s="72" t="s">
        <v>122</v>
      </c>
      <c r="C88" s="80">
        <f>D87</f>
        <v>25</v>
      </c>
      <c r="D88" s="81">
        <v>40</v>
      </c>
      <c r="E88" s="82">
        <v>1.56</v>
      </c>
    </row>
    <row r="89" spans="2:5" ht="15" x14ac:dyDescent="0.2">
      <c r="B89" s="32"/>
      <c r="C89" s="64"/>
    </row>
    <row r="90" spans="2:5" x14ac:dyDescent="0.2">
      <c r="B90" s="34" t="s">
        <v>312</v>
      </c>
      <c r="C90" s="29">
        <v>1.5</v>
      </c>
      <c r="D90" s="26" t="s">
        <v>297</v>
      </c>
    </row>
    <row r="91" spans="2:5" x14ac:dyDescent="0.2">
      <c r="B91" s="34" t="s">
        <v>296</v>
      </c>
      <c r="C91" s="29">
        <v>0.45</v>
      </c>
      <c r="D91" s="26" t="s">
        <v>298</v>
      </c>
    </row>
    <row r="92" spans="2:5" x14ac:dyDescent="0.2">
      <c r="B92" s="34" t="s">
        <v>303</v>
      </c>
      <c r="C92" s="60">
        <f>C51</f>
        <v>150</v>
      </c>
      <c r="D92" s="26" t="s">
        <v>216</v>
      </c>
    </row>
    <row r="93" spans="2:5" x14ac:dyDescent="0.2">
      <c r="B93" s="34"/>
      <c r="C93" s="5"/>
      <c r="D93" s="26"/>
    </row>
    <row r="94" spans="2:5" x14ac:dyDescent="0.2">
      <c r="B94" s="34" t="s">
        <v>350</v>
      </c>
    </row>
    <row r="95" spans="2:5" x14ac:dyDescent="0.2">
      <c r="B95" s="34" t="s">
        <v>351</v>
      </c>
    </row>
    <row r="96" spans="2:5" x14ac:dyDescent="0.2">
      <c r="B96" s="34" t="s">
        <v>293</v>
      </c>
    </row>
    <row r="97" spans="2:8" ht="13.5" thickBot="1" x14ac:dyDescent="0.25"/>
    <row r="98" spans="2:8" ht="50.1" customHeight="1" thickBot="1" x14ac:dyDescent="0.25">
      <c r="B98" s="183" t="s">
        <v>291</v>
      </c>
      <c r="C98" s="260" t="s">
        <v>282</v>
      </c>
      <c r="D98" s="261"/>
      <c r="E98" s="262"/>
      <c r="F98" s="260" t="s">
        <v>264</v>
      </c>
      <c r="G98" s="261"/>
      <c r="H98" s="262"/>
    </row>
    <row r="99" spans="2:8" ht="25.5" x14ac:dyDescent="0.2">
      <c r="B99" s="184"/>
      <c r="C99" s="173" t="s">
        <v>182</v>
      </c>
      <c r="D99" s="174" t="s">
        <v>183</v>
      </c>
      <c r="E99" s="175" t="s">
        <v>217</v>
      </c>
      <c r="F99" s="173" t="s">
        <v>182</v>
      </c>
      <c r="G99" s="174" t="s">
        <v>183</v>
      </c>
      <c r="H99" s="175" t="s">
        <v>217</v>
      </c>
    </row>
    <row r="100" spans="2:8" x14ac:dyDescent="0.2">
      <c r="B100" s="185" t="s">
        <v>160</v>
      </c>
      <c r="C100" s="148">
        <v>456</v>
      </c>
      <c r="D100" s="245">
        <f>C100</f>
        <v>456</v>
      </c>
      <c r="E100" s="9">
        <f>D100-C100</f>
        <v>0</v>
      </c>
      <c r="F100" s="51">
        <f>C100</f>
        <v>456</v>
      </c>
      <c r="G100" s="51">
        <f>D100</f>
        <v>456</v>
      </c>
      <c r="H100" s="9">
        <f>G100-F100</f>
        <v>0</v>
      </c>
    </row>
    <row r="101" spans="2:8" x14ac:dyDescent="0.2">
      <c r="B101" s="185" t="s">
        <v>161</v>
      </c>
      <c r="C101" s="152">
        <f>1.7</f>
        <v>1.7</v>
      </c>
      <c r="D101" s="240">
        <f>C101</f>
        <v>1.7</v>
      </c>
      <c r="E101" s="9">
        <f>D101-C101</f>
        <v>0</v>
      </c>
      <c r="F101" s="51">
        <f>C101</f>
        <v>1.7</v>
      </c>
      <c r="G101" s="51">
        <f>C101</f>
        <v>1.7</v>
      </c>
      <c r="H101" s="9">
        <f>G101-F101</f>
        <v>0</v>
      </c>
    </row>
    <row r="102" spans="2:8" ht="25.5" x14ac:dyDescent="0.2">
      <c r="B102" s="186" t="s">
        <v>17</v>
      </c>
      <c r="C102" s="8"/>
      <c r="D102" s="7"/>
      <c r="E102" s="180"/>
      <c r="F102" s="144" t="s">
        <v>182</v>
      </c>
      <c r="G102" s="139" t="s">
        <v>183</v>
      </c>
      <c r="H102" s="180"/>
    </row>
    <row r="103" spans="2:8" x14ac:dyDescent="0.2">
      <c r="B103" s="186" t="s">
        <v>159</v>
      </c>
      <c r="C103" s="145">
        <v>100</v>
      </c>
      <c r="D103" s="239">
        <f>C103</f>
        <v>100</v>
      </c>
      <c r="E103" s="9">
        <f>D103-C103</f>
        <v>0</v>
      </c>
      <c r="F103" s="51">
        <f>C103</f>
        <v>100</v>
      </c>
      <c r="G103" s="51">
        <f>C103</f>
        <v>100</v>
      </c>
      <c r="H103" s="9">
        <f>G103-F103</f>
        <v>0</v>
      </c>
    </row>
    <row r="104" spans="2:8" x14ac:dyDescent="0.2">
      <c r="B104" s="184" t="s">
        <v>295</v>
      </c>
      <c r="C104" s="155">
        <f>C25*C42*C103%</f>
        <v>30512.881923264667</v>
      </c>
      <c r="D104" s="33">
        <f>D25*D42*D103%</f>
        <v>31698.467148389685</v>
      </c>
      <c r="E104" s="160">
        <f>D104-C104</f>
        <v>1185.585225125018</v>
      </c>
      <c r="F104" s="155">
        <f>F25*F42*F103%</f>
        <v>30512.881923264667</v>
      </c>
      <c r="G104" s="33">
        <f>G25*G42*G103%</f>
        <v>31698.467148389685</v>
      </c>
      <c r="H104" s="160">
        <f>G104-F104</f>
        <v>1185.585225125018</v>
      </c>
    </row>
    <row r="105" spans="2:8" x14ac:dyDescent="0.2">
      <c r="B105" s="184" t="str">
        <f>B493</f>
        <v>Foderdage per smågris</v>
      </c>
      <c r="C105" s="145">
        <f>8*7-3</f>
        <v>53</v>
      </c>
      <c r="D105" s="239">
        <f>$C105</f>
        <v>53</v>
      </c>
      <c r="E105" s="9">
        <f>D105-C105</f>
        <v>0</v>
      </c>
      <c r="F105" s="51">
        <f>$C105</f>
        <v>53</v>
      </c>
      <c r="G105" s="51">
        <f>$C105</f>
        <v>53</v>
      </c>
      <c r="H105" s="9">
        <f>G105-F105</f>
        <v>0</v>
      </c>
    </row>
    <row r="106" spans="2:8" x14ac:dyDescent="0.2">
      <c r="B106" s="184" t="s">
        <v>181</v>
      </c>
      <c r="C106" s="145">
        <v>3.3</v>
      </c>
      <c r="D106" s="239">
        <f>C106</f>
        <v>3.3</v>
      </c>
      <c r="E106" s="9">
        <f>D106-C106</f>
        <v>0</v>
      </c>
      <c r="F106" s="51">
        <f>C106</f>
        <v>3.3</v>
      </c>
      <c r="G106" s="51">
        <f>C106</f>
        <v>3.3</v>
      </c>
      <c r="H106" s="9">
        <f>G106-F106</f>
        <v>0</v>
      </c>
    </row>
    <row r="107" spans="2:8" x14ac:dyDescent="0.2">
      <c r="B107" s="184" t="str">
        <f>B492</f>
        <v xml:space="preserve">Indsættelsesvægt </v>
      </c>
      <c r="C107" s="12">
        <f>C61</f>
        <v>6.8334707609625678</v>
      </c>
      <c r="D107" s="24">
        <f>D61</f>
        <v>7.2380751144199742</v>
      </c>
      <c r="E107" s="9">
        <f>D107-C107</f>
        <v>0.40460435345740642</v>
      </c>
      <c r="F107" s="12">
        <f>F61</f>
        <v>6.8334707609625678</v>
      </c>
      <c r="G107" s="24">
        <f>G61</f>
        <v>7.2380751144199742</v>
      </c>
      <c r="H107" s="9">
        <f>G107-F107</f>
        <v>0.40460435345740642</v>
      </c>
    </row>
    <row r="108" spans="2:8" x14ac:dyDescent="0.2">
      <c r="B108" s="184" t="str">
        <f>B494</f>
        <v>Salgsvægt</v>
      </c>
      <c r="C108" s="151">
        <f>C494</f>
        <v>31.292409708151741</v>
      </c>
      <c r="D108" s="23">
        <f>D494</f>
        <v>32.386958969939634</v>
      </c>
      <c r="E108" s="180"/>
      <c r="F108" s="151">
        <f>F494</f>
        <v>31.292409708151741</v>
      </c>
      <c r="G108" s="23">
        <f>G494</f>
        <v>32.386958969939634</v>
      </c>
      <c r="H108" s="180"/>
    </row>
    <row r="109" spans="2:8" x14ac:dyDescent="0.2">
      <c r="B109" s="184" t="s">
        <v>299</v>
      </c>
      <c r="C109" s="151"/>
      <c r="D109" s="23"/>
      <c r="E109" s="180"/>
      <c r="F109" s="151"/>
      <c r="G109" s="23"/>
      <c r="H109" s="180"/>
    </row>
    <row r="110" spans="2:8" x14ac:dyDescent="0.2">
      <c r="B110" s="187" t="s">
        <v>300</v>
      </c>
      <c r="C110" s="8"/>
      <c r="D110" s="7"/>
      <c r="E110" s="180"/>
      <c r="F110" s="8"/>
      <c r="G110" s="7"/>
      <c r="H110" s="180"/>
    </row>
    <row r="111" spans="2:8" x14ac:dyDescent="0.2">
      <c r="B111" s="188" t="str">
        <f>B85</f>
        <v>Fravænningsblanding</v>
      </c>
      <c r="C111" s="247">
        <f t="shared" ref="C111:D114" si="8">C510*C516</f>
        <v>3.2703785659957969</v>
      </c>
      <c r="D111" s="248">
        <f t="shared" si="8"/>
        <v>2.6660437363300238</v>
      </c>
      <c r="E111" s="167">
        <f>D111-C111</f>
        <v>-0.60433482966577312</v>
      </c>
      <c r="F111" s="151">
        <f t="shared" ref="F111:G114" si="9">F510*F516</f>
        <v>3.2703785659957969</v>
      </c>
      <c r="G111" s="23">
        <f t="shared" si="9"/>
        <v>2.6660437363300238</v>
      </c>
      <c r="H111" s="167">
        <f>G111-F111</f>
        <v>-0.60433482966577312</v>
      </c>
    </row>
    <row r="112" spans="2:8" x14ac:dyDescent="0.2">
      <c r="B112" s="188" t="str">
        <f>B86</f>
        <v>Smågriseblanding 1</v>
      </c>
      <c r="C112" s="247">
        <f t="shared" si="8"/>
        <v>4.6680000000000001</v>
      </c>
      <c r="D112" s="248">
        <f t="shared" si="8"/>
        <v>4.6680000000000001</v>
      </c>
      <c r="E112" s="167">
        <f>D112-C112</f>
        <v>0</v>
      </c>
      <c r="F112" s="151">
        <f t="shared" si="9"/>
        <v>4.6680000000000001</v>
      </c>
      <c r="G112" s="23">
        <f t="shared" si="9"/>
        <v>4.6680000000000001</v>
      </c>
      <c r="H112" s="167">
        <f>G112-F112</f>
        <v>0</v>
      </c>
    </row>
    <row r="113" spans="2:8" x14ac:dyDescent="0.2">
      <c r="B113" s="188" t="str">
        <f>B87</f>
        <v>Smågriseblanding 2</v>
      </c>
      <c r="C113" s="247">
        <f t="shared" si="8"/>
        <v>22.099999999999998</v>
      </c>
      <c r="D113" s="248">
        <f t="shared" si="8"/>
        <v>22.099999999999998</v>
      </c>
      <c r="E113" s="167">
        <f>D113-C113</f>
        <v>0</v>
      </c>
      <c r="F113" s="151">
        <f t="shared" si="9"/>
        <v>22.099999999999998</v>
      </c>
      <c r="G113" s="23">
        <f t="shared" si="9"/>
        <v>22.099999999999998</v>
      </c>
      <c r="H113" s="167">
        <f>G113-F113</f>
        <v>0</v>
      </c>
    </row>
    <row r="114" spans="2:8" x14ac:dyDescent="0.2">
      <c r="B114" s="188" t="str">
        <f>B88</f>
        <v>Smågriseblanding 3</v>
      </c>
      <c r="C114" s="247">
        <f t="shared" si="8"/>
        <v>11.789658219128894</v>
      </c>
      <c r="D114" s="248">
        <f t="shared" si="8"/>
        <v>13.913208913792459</v>
      </c>
      <c r="E114" s="167">
        <f>D114-C114</f>
        <v>2.1235506946635656</v>
      </c>
      <c r="F114" s="151">
        <f t="shared" si="9"/>
        <v>11.789658219128894</v>
      </c>
      <c r="G114" s="23">
        <f t="shared" si="9"/>
        <v>13.913208913792459</v>
      </c>
      <c r="H114" s="167">
        <f>G114-F114</f>
        <v>2.1235506946635656</v>
      </c>
    </row>
    <row r="115" spans="2:8" x14ac:dyDescent="0.2">
      <c r="B115" s="184" t="s">
        <v>171</v>
      </c>
      <c r="C115" s="247">
        <f>(C120/(1+C106%/2))/SUM(C111:C114)</f>
        <v>2.070210981468279</v>
      </c>
      <c r="D115" s="248">
        <f>(D120/(1+D106%/2))/SUM(D111:D114)</f>
        <v>2.01831155383706</v>
      </c>
      <c r="E115" s="167">
        <f>D115-C115</f>
        <v>-5.1899427631219019E-2</v>
      </c>
      <c r="F115" s="151">
        <f>(F120/(1+F106%/2))/SUM(F111:F114)</f>
        <v>2.070210981468279</v>
      </c>
      <c r="G115" s="23">
        <f>(G120/(1+G106%/2))/SUM(G111:G114)</f>
        <v>2.01831155383706</v>
      </c>
      <c r="H115" s="167">
        <f>G115-F115</f>
        <v>-5.1899427631219019E-2</v>
      </c>
    </row>
    <row r="116" spans="2:8" x14ac:dyDescent="0.2">
      <c r="B116" s="186" t="s">
        <v>240</v>
      </c>
      <c r="C116" s="8"/>
      <c r="D116" s="7"/>
      <c r="E116" s="180"/>
      <c r="F116" s="181"/>
      <c r="G116" s="182"/>
      <c r="H116" s="180"/>
    </row>
    <row r="117" spans="2:8" x14ac:dyDescent="0.2">
      <c r="B117" s="184" t="s">
        <v>301</v>
      </c>
      <c r="C117" s="12">
        <f>VLOOKUP(C494,$B$146:$E$151,4,TRUE)-(VLOOKUP(C494,$B$146:$C$151,2,TRUE)-C494)*VLOOKUP(C494,$B$146:$D$151,3,TRUE)</f>
        <v>408.66398956933983</v>
      </c>
      <c r="D117" s="24">
        <f>VLOOKUP(D494,$B$146:$E$151,4,TRUE)-(VLOOKUP(D494,$B$146:$C$151,2,TRUE)-D494)*VLOOKUP(D494,$B$146:$D$151,3,TRUE)</f>
        <v>415.15466669174202</v>
      </c>
      <c r="E117" s="168">
        <f>D117-C117</f>
        <v>6.4906771224021895</v>
      </c>
      <c r="F117" s="12">
        <f>VLOOKUP(F494,$B$146:$E$151,4,TRUE)-(VLOOKUP(F494,$B$146:$C$151,2,TRUE)-F494)*VLOOKUP(F494,$B$146:$D$151,3,TRUE)</f>
        <v>408.66398956933983</v>
      </c>
      <c r="G117" s="24">
        <f>VLOOKUP(G494,$B$146:$E$151,4,TRUE)-(VLOOKUP(G494,$B$146:$C$151,2,TRUE)-G494)*VLOOKUP(G494,$B$146:$D$151,3,TRUE)</f>
        <v>415.15466669174202</v>
      </c>
      <c r="H117" s="168">
        <f>G117-F117</f>
        <v>6.4906771224021895</v>
      </c>
    </row>
    <row r="118" spans="2:8" x14ac:dyDescent="0.2">
      <c r="B118" s="184" t="s">
        <v>177</v>
      </c>
      <c r="C118" s="169">
        <v>10</v>
      </c>
      <c r="D118" s="246">
        <f>C118</f>
        <v>10</v>
      </c>
      <c r="E118" s="168">
        <f t="shared" ref="E118:E124" si="10">D118-C118</f>
        <v>0</v>
      </c>
      <c r="F118" s="51">
        <f>C118</f>
        <v>10</v>
      </c>
      <c r="G118" s="51">
        <f>C118</f>
        <v>10</v>
      </c>
      <c r="H118" s="168">
        <f t="shared" ref="H118:H124" si="11">G118-F118</f>
        <v>0</v>
      </c>
    </row>
    <row r="119" spans="2:8" x14ac:dyDescent="0.2">
      <c r="B119" s="184" t="s">
        <v>302</v>
      </c>
      <c r="C119" s="12">
        <f>C64*(1+C106%)</f>
        <v>242.85346327531335</v>
      </c>
      <c r="D119" s="24">
        <f>D64*(1+D106%)</f>
        <v>248.15095742616032</v>
      </c>
      <c r="E119" s="168">
        <f t="shared" si="10"/>
        <v>5.2974941508469726</v>
      </c>
      <c r="F119" s="12">
        <f>F64*(1+F106%)</f>
        <v>242.85346327531335</v>
      </c>
      <c r="G119" s="24">
        <f>G64*(1+G106%)</f>
        <v>248.15095742616032</v>
      </c>
      <c r="H119" s="168">
        <f t="shared" si="11"/>
        <v>5.2974941508469726</v>
      </c>
    </row>
    <row r="120" spans="2:8" x14ac:dyDescent="0.2">
      <c r="B120" s="184" t="s">
        <v>179</v>
      </c>
      <c r="C120" s="12">
        <f>SUMPRODUCT(C111:C114,$E$85:$E$88)*(1+C106%/2)</f>
        <v>88.021643293740354</v>
      </c>
      <c r="D120" s="24">
        <f>SUMPRODUCT(D111:D114,$E$85:$E$88)*(1+D106%/2)</f>
        <v>88.93181715487512</v>
      </c>
      <c r="E120" s="168">
        <f t="shared" si="10"/>
        <v>0.91017386113476562</v>
      </c>
      <c r="F120" s="12">
        <f>SUMPRODUCT(F111:F114,$E$85:$E$88)*(1+F106%/2)</f>
        <v>88.021643293740354</v>
      </c>
      <c r="G120" s="24">
        <f>SUMPRODUCT(G111:G114,$E$85:$E$88)*(1+G106%/2)</f>
        <v>88.93181715487512</v>
      </c>
      <c r="H120" s="168">
        <f t="shared" si="11"/>
        <v>0.91017386113476562</v>
      </c>
    </row>
    <row r="121" spans="2:8" x14ac:dyDescent="0.2">
      <c r="B121" s="184" t="s">
        <v>239</v>
      </c>
      <c r="C121" s="249">
        <f>(($C$90+(C105/7)*$C$91)*(1+C106%/2)/60)*$C$92</f>
        <v>12.470276785714285</v>
      </c>
      <c r="D121" s="250">
        <f>(($C$90+(D105/7)*$C$91)*(1+D106%/2)/60)*$C$92</f>
        <v>12.470276785714285</v>
      </c>
      <c r="E121" s="168">
        <f t="shared" si="10"/>
        <v>0</v>
      </c>
      <c r="F121" s="12">
        <f>(($C$90+(F105/7)*$C$91)*(1+F106%/2)/60)*$C$92</f>
        <v>12.470276785714285</v>
      </c>
      <c r="G121" s="24">
        <f>(($C$90+(G105/7)*$C$91)*(1+G106%/2)/60)*$C$92</f>
        <v>12.470276785714285</v>
      </c>
      <c r="H121" s="168">
        <f t="shared" si="11"/>
        <v>0</v>
      </c>
    </row>
    <row r="122" spans="2:8" x14ac:dyDescent="0.2">
      <c r="B122" s="184" t="s">
        <v>238</v>
      </c>
      <c r="C122" s="249">
        <f>F122</f>
        <v>20.740000000000002</v>
      </c>
      <c r="D122" s="250">
        <f>G122</f>
        <v>20.740000000000002</v>
      </c>
      <c r="E122" s="168">
        <f t="shared" si="10"/>
        <v>0</v>
      </c>
      <c r="F122" s="196">
        <f>(1.03+3.1+3.3)+(9.14+1.12+1.34+1.71)</f>
        <v>20.740000000000002</v>
      </c>
      <c r="G122" s="140">
        <f>(1.03+3.1+3.3)+(9.14+1.12+1.34+1.71)</f>
        <v>20.740000000000002</v>
      </c>
      <c r="H122" s="168">
        <f t="shared" si="11"/>
        <v>0</v>
      </c>
    </row>
    <row r="123" spans="2:8" x14ac:dyDescent="0.2">
      <c r="B123" s="184" t="s">
        <v>304</v>
      </c>
      <c r="C123" s="12">
        <f>SUM(C117:C118)-SUM(C119:C122)</f>
        <v>54.578606214571835</v>
      </c>
      <c r="D123" s="24">
        <f>SUM(D117:D118)-SUM(D119:D122)</f>
        <v>54.861615324992272</v>
      </c>
      <c r="E123" s="168">
        <f t="shared" si="10"/>
        <v>0.28300911042043708</v>
      </c>
      <c r="F123" s="12">
        <f>SUM(F117:F118)-SUM(F119:F122)</f>
        <v>54.578606214571835</v>
      </c>
      <c r="G123" s="24">
        <f>SUM(G117:G118)-SUM(G119:G122)</f>
        <v>54.861615324992272</v>
      </c>
      <c r="H123" s="168">
        <f t="shared" si="11"/>
        <v>0.28300911042043708</v>
      </c>
    </row>
    <row r="124" spans="2:8" x14ac:dyDescent="0.2">
      <c r="B124" s="184" t="s">
        <v>180</v>
      </c>
      <c r="C124" s="155">
        <f>C104*(1-C106%)</f>
        <v>29505.956819796931</v>
      </c>
      <c r="D124" s="33">
        <f>D104*(1-D106%)</f>
        <v>30652.417732492824</v>
      </c>
      <c r="E124" s="160">
        <f t="shared" si="10"/>
        <v>1146.4609126958931</v>
      </c>
      <c r="F124" s="155">
        <f>F104*(1-F106%)</f>
        <v>29505.956819796931</v>
      </c>
      <c r="G124" s="33">
        <f>G104*(1-G106%)</f>
        <v>30652.417732492824</v>
      </c>
      <c r="H124" s="160">
        <f t="shared" si="11"/>
        <v>1146.4609126958931</v>
      </c>
    </row>
    <row r="125" spans="2:8" ht="13.5" thickBot="1" x14ac:dyDescent="0.25">
      <c r="B125" s="189" t="s">
        <v>305</v>
      </c>
      <c r="C125" s="158">
        <f>C124*C123</f>
        <v>1610393.998251857</v>
      </c>
      <c r="D125" s="61">
        <f>D124*D123</f>
        <v>1681641.1504209931</v>
      </c>
      <c r="E125" s="162">
        <f>D125-C125</f>
        <v>71247.152169136098</v>
      </c>
      <c r="F125" s="158">
        <f>F124*F123</f>
        <v>1610393.998251857</v>
      </c>
      <c r="G125" s="61">
        <f>G124*G123</f>
        <v>1681641.1504209931</v>
      </c>
      <c r="H125" s="162">
        <f>G125-F125</f>
        <v>71247.152169136098</v>
      </c>
    </row>
    <row r="126" spans="2:8" x14ac:dyDescent="0.2">
      <c r="B126" s="26" t="s">
        <v>4</v>
      </c>
    </row>
    <row r="127" spans="2:8" x14ac:dyDescent="0.2">
      <c r="B127" s="58" t="s">
        <v>306</v>
      </c>
    </row>
    <row r="128" spans="2:8" x14ac:dyDescent="0.2">
      <c r="B128" s="26" t="s">
        <v>307</v>
      </c>
      <c r="C128" s="4">
        <f>E78</f>
        <v>11883.52727379417</v>
      </c>
      <c r="D128" s="26"/>
    </row>
    <row r="129" spans="1:7" x14ac:dyDescent="0.2">
      <c r="B129" s="34" t="s">
        <v>308</v>
      </c>
      <c r="C129" s="4">
        <f>E125</f>
        <v>71247.152169136098</v>
      </c>
    </row>
    <row r="130" spans="1:7" ht="13.5" thickBot="1" x14ac:dyDescent="0.25">
      <c r="B130" s="59" t="s">
        <v>309</v>
      </c>
      <c r="C130" s="61">
        <f>SUM(C128:C129)</f>
        <v>83130.679442930268</v>
      </c>
    </row>
    <row r="131" spans="1:7" x14ac:dyDescent="0.2">
      <c r="B131" s="58"/>
    </row>
    <row r="132" spans="1:7" hidden="1" x14ac:dyDescent="0.2">
      <c r="B132" s="58"/>
    </row>
    <row r="133" spans="1:7" hidden="1" x14ac:dyDescent="0.2">
      <c r="B133" s="58"/>
    </row>
    <row r="134" spans="1:7" hidden="1" x14ac:dyDescent="0.2">
      <c r="B134" s="58"/>
    </row>
    <row r="135" spans="1:7" hidden="1" x14ac:dyDescent="0.2">
      <c r="B135" s="58"/>
    </row>
    <row r="136" spans="1:7" hidden="1" x14ac:dyDescent="0.2">
      <c r="B136" s="58"/>
    </row>
    <row r="137" spans="1:7" hidden="1" x14ac:dyDescent="0.2">
      <c r="B137" s="58"/>
    </row>
    <row r="138" spans="1:7" hidden="1" x14ac:dyDescent="0.2">
      <c r="B138" s="58"/>
    </row>
    <row r="139" spans="1:7" hidden="1" x14ac:dyDescent="0.2">
      <c r="B139" s="58"/>
    </row>
    <row r="140" spans="1:7" ht="18" hidden="1" x14ac:dyDescent="0.25">
      <c r="A140" s="26"/>
      <c r="B140" s="53" t="s">
        <v>288</v>
      </c>
      <c r="G140" s="26"/>
    </row>
    <row r="141" spans="1:7" hidden="1" x14ac:dyDescent="0.2">
      <c r="B141" s="51" t="s">
        <v>77</v>
      </c>
      <c r="C141" s="17">
        <f>'Beregnet smågrisenotering'!C6</f>
        <v>237.5</v>
      </c>
      <c r="G141" s="3"/>
    </row>
    <row r="142" spans="1:7" hidden="1" x14ac:dyDescent="0.2">
      <c r="B142" s="51" t="s">
        <v>78</v>
      </c>
      <c r="C142" s="17">
        <f>'Beregnet smågrisenotering'!C7</f>
        <v>401</v>
      </c>
      <c r="G142" s="3"/>
    </row>
    <row r="143" spans="1:7" hidden="1" x14ac:dyDescent="0.2"/>
    <row r="144" spans="1:7" ht="13.5" hidden="1" thickBot="1" x14ac:dyDescent="0.25">
      <c r="B144" s="6" t="s">
        <v>132</v>
      </c>
    </row>
    <row r="145" spans="1:7" hidden="1" x14ac:dyDescent="0.2">
      <c r="B145" s="21" t="s">
        <v>8</v>
      </c>
      <c r="C145" s="22" t="s">
        <v>79</v>
      </c>
      <c r="D145" s="22" t="s">
        <v>80</v>
      </c>
      <c r="E145" s="54" t="s">
        <v>121</v>
      </c>
    </row>
    <row r="146" spans="1:7" hidden="1" x14ac:dyDescent="0.2">
      <c r="B146" s="8">
        <v>0</v>
      </c>
      <c r="C146" s="7">
        <v>7</v>
      </c>
      <c r="D146" s="23">
        <f>D147+3</f>
        <v>14.44</v>
      </c>
      <c r="E146" s="9">
        <f>C141</f>
        <v>237.5</v>
      </c>
      <c r="G146" s="30" t="s">
        <v>4</v>
      </c>
    </row>
    <row r="147" spans="1:7" hidden="1" x14ac:dyDescent="0.2">
      <c r="B147" s="12">
        <f>C146</f>
        <v>7</v>
      </c>
      <c r="C147" s="24">
        <v>9</v>
      </c>
      <c r="D147" s="56">
        <f>'Beregnet smågrisenotering'!D12</f>
        <v>11.44</v>
      </c>
      <c r="E147" s="9">
        <f>E146+(C147-B147)*D147</f>
        <v>260.38</v>
      </c>
      <c r="G147" s="2"/>
    </row>
    <row r="148" spans="1:7" hidden="1" x14ac:dyDescent="0.2">
      <c r="B148" s="12">
        <f>C147</f>
        <v>9</v>
      </c>
      <c r="C148" s="24">
        <v>12</v>
      </c>
      <c r="D148" s="56">
        <f>'Beregnet smågrisenotering'!D13</f>
        <v>7.46</v>
      </c>
      <c r="E148" s="9">
        <f>E147+(C148-B148)*D148</f>
        <v>282.76</v>
      </c>
      <c r="G148" s="2"/>
    </row>
    <row r="149" spans="1:7" hidden="1" x14ac:dyDescent="0.2">
      <c r="A149" s="20"/>
      <c r="B149" s="12">
        <f>C148</f>
        <v>12</v>
      </c>
      <c r="C149" s="24">
        <v>25</v>
      </c>
      <c r="D149" s="56">
        <f>'Beregnet smågrisenotering'!D14</f>
        <v>6.84</v>
      </c>
      <c r="E149" s="9">
        <f>E148+(C149-B149)*D149</f>
        <v>371.68</v>
      </c>
      <c r="F149" s="51" t="s">
        <v>4</v>
      </c>
      <c r="G149" s="2"/>
    </row>
    <row r="150" spans="1:7" hidden="1" x14ac:dyDescent="0.2">
      <c r="A150" s="20"/>
      <c r="B150" s="12">
        <f>C149</f>
        <v>25</v>
      </c>
      <c r="C150" s="24">
        <v>30</v>
      </c>
      <c r="D150" s="56">
        <f>'Beregnet smågrisenotering'!D15</f>
        <v>5.87</v>
      </c>
      <c r="E150" s="9">
        <f>C142</f>
        <v>401</v>
      </c>
      <c r="G150" s="2"/>
    </row>
    <row r="151" spans="1:7" ht="13.5" hidden="1" thickBot="1" x14ac:dyDescent="0.25">
      <c r="A151" s="20"/>
      <c r="B151" s="55">
        <f>C150</f>
        <v>30</v>
      </c>
      <c r="C151" s="25">
        <v>40</v>
      </c>
      <c r="D151" s="57">
        <f>'Beregnet smågrisenotering'!D16</f>
        <v>5.93</v>
      </c>
      <c r="E151" s="10">
        <f>E150+(C151-B151)*D151</f>
        <v>460.3</v>
      </c>
      <c r="G151" s="2"/>
    </row>
    <row r="152" spans="1:7" hidden="1" x14ac:dyDescent="0.2">
      <c r="A152" s="20"/>
      <c r="B152" s="3"/>
      <c r="C152" s="3"/>
    </row>
    <row r="153" spans="1:7" hidden="1" x14ac:dyDescent="0.2">
      <c r="A153" s="20"/>
      <c r="B153" s="26" t="s">
        <v>204</v>
      </c>
      <c r="C153" s="14">
        <v>7</v>
      </c>
      <c r="D153" s="51" t="s">
        <v>6</v>
      </c>
    </row>
    <row r="154" spans="1:7" hidden="1" x14ac:dyDescent="0.2">
      <c r="A154" s="20"/>
      <c r="B154" s="26" t="s">
        <v>203</v>
      </c>
      <c r="C154" s="5">
        <f>VLOOKUP(C153,B146:E151,4,TRUE)-(VLOOKUP(C153,B146:C151,2,TRUE)-C153)*VLOOKUP(C153,B146:D151,3,TRUE)</f>
        <v>237.5</v>
      </c>
      <c r="D154" s="26" t="s">
        <v>186</v>
      </c>
    </row>
    <row r="155" spans="1:7" hidden="1" x14ac:dyDescent="0.2">
      <c r="A155" s="20"/>
    </row>
    <row r="156" spans="1:7" hidden="1" x14ac:dyDescent="0.2">
      <c r="A156" s="20"/>
    </row>
    <row r="157" spans="1:7" hidden="1" x14ac:dyDescent="0.2">
      <c r="A157" s="20"/>
      <c r="F157" s="26" t="s">
        <v>4</v>
      </c>
    </row>
    <row r="158" spans="1:7" x14ac:dyDescent="0.2">
      <c r="A158" s="20"/>
      <c r="B158" s="51" t="str">
        <f xml:space="preserve"> "Beregnet af: " &amp;C$2</f>
        <v>Beregnet af: MGC@seges.dk</v>
      </c>
      <c r="F158" s="51" t="str">
        <f>"For: "&amp;C$3</f>
        <v>For: L.L</v>
      </c>
    </row>
    <row r="159" spans="1:7" x14ac:dyDescent="0.2">
      <c r="A159" s="20"/>
    </row>
    <row r="160" spans="1:7" ht="18" x14ac:dyDescent="0.25">
      <c r="B160" s="53" t="s">
        <v>260</v>
      </c>
    </row>
    <row r="161" spans="2:6" ht="15" x14ac:dyDescent="0.2">
      <c r="B161" s="26" t="s">
        <v>332</v>
      </c>
      <c r="C161" s="104">
        <v>1100</v>
      </c>
      <c r="D161" s="26" t="s">
        <v>206</v>
      </c>
      <c r="E161" s="2"/>
      <c r="F161" s="26" t="s">
        <v>4</v>
      </c>
    </row>
    <row r="162" spans="2:6" ht="15" x14ac:dyDescent="0.2">
      <c r="B162" s="26" t="s">
        <v>241</v>
      </c>
      <c r="C162" s="105">
        <v>8</v>
      </c>
      <c r="E162" s="2"/>
    </row>
    <row r="163" spans="2:6" ht="15" x14ac:dyDescent="0.2">
      <c r="B163" s="26" t="s">
        <v>225</v>
      </c>
      <c r="C163" s="106">
        <v>0.05</v>
      </c>
      <c r="E163" s="2"/>
    </row>
    <row r="164" spans="2:6" ht="15" x14ac:dyDescent="0.2">
      <c r="B164" s="26" t="s">
        <v>252</v>
      </c>
      <c r="C164" s="105">
        <v>33</v>
      </c>
      <c r="D164" s="26" t="s">
        <v>76</v>
      </c>
      <c r="E164" s="30" t="s">
        <v>4</v>
      </c>
    </row>
    <row r="165" spans="2:6" ht="15" x14ac:dyDescent="0.2">
      <c r="B165" s="26" t="s">
        <v>242</v>
      </c>
      <c r="C165" s="121" t="s">
        <v>243</v>
      </c>
      <c r="D165" s="26"/>
      <c r="E165" s="30"/>
    </row>
    <row r="166" spans="2:6" x14ac:dyDescent="0.2">
      <c r="B166" s="26" t="s">
        <v>220</v>
      </c>
      <c r="C166" s="28">
        <f>IF(C165="Centrifugalpumpe",25,50)</f>
        <v>25</v>
      </c>
      <c r="D166" s="51" t="s">
        <v>221</v>
      </c>
      <c r="E166" s="26" t="s">
        <v>4</v>
      </c>
    </row>
    <row r="167" spans="2:6" x14ac:dyDescent="0.2">
      <c r="B167" s="26" t="s">
        <v>223</v>
      </c>
      <c r="C167" s="29">
        <f>1310/244</f>
        <v>5.3688524590163933</v>
      </c>
      <c r="D167" s="36" t="s">
        <v>224</v>
      </c>
      <c r="E167" s="26"/>
    </row>
    <row r="168" spans="2:6" x14ac:dyDescent="0.2">
      <c r="B168" s="26" t="s">
        <v>218</v>
      </c>
      <c r="C168" s="14">
        <v>60</v>
      </c>
      <c r="D168" s="51" t="s">
        <v>219</v>
      </c>
      <c r="E168" s="26"/>
    </row>
    <row r="169" spans="2:6" x14ac:dyDescent="0.2">
      <c r="B169" s="26" t="s">
        <v>211</v>
      </c>
      <c r="C169" s="119">
        <v>0.75</v>
      </c>
      <c r="D169" s="36" t="s">
        <v>222</v>
      </c>
      <c r="E169" s="30"/>
    </row>
    <row r="170" spans="2:6" x14ac:dyDescent="0.2">
      <c r="E170" s="30"/>
    </row>
    <row r="171" spans="2:6" ht="15" x14ac:dyDescent="0.2">
      <c r="B171" s="6" t="s">
        <v>212</v>
      </c>
      <c r="C171" s="37"/>
    </row>
    <row r="172" spans="2:6" ht="15" x14ac:dyDescent="0.2">
      <c r="B172" s="26" t="s">
        <v>151</v>
      </c>
      <c r="C172" s="122">
        <v>2.1</v>
      </c>
      <c r="D172" s="26" t="s">
        <v>187</v>
      </c>
    </row>
    <row r="173" spans="2:6" ht="15" x14ac:dyDescent="0.2">
      <c r="B173" s="26" t="s">
        <v>152</v>
      </c>
      <c r="C173" s="122">
        <v>1.3</v>
      </c>
      <c r="D173" s="26" t="s">
        <v>187</v>
      </c>
      <c r="F173" s="26" t="s">
        <v>4</v>
      </c>
    </row>
    <row r="174" spans="2:6" ht="15" x14ac:dyDescent="0.2">
      <c r="B174" s="26" t="s">
        <v>278</v>
      </c>
      <c r="C174" s="122">
        <f>30/60</f>
        <v>0.5</v>
      </c>
      <c r="D174" s="26" t="s">
        <v>198</v>
      </c>
    </row>
    <row r="175" spans="2:6" ht="15" x14ac:dyDescent="0.2">
      <c r="B175" s="26" t="s">
        <v>277</v>
      </c>
      <c r="C175" s="143">
        <f>15/60</f>
        <v>0.25</v>
      </c>
      <c r="D175" s="26" t="s">
        <v>198</v>
      </c>
    </row>
    <row r="176" spans="2:6" ht="15" x14ac:dyDescent="0.2">
      <c r="B176" s="6" t="s">
        <v>65</v>
      </c>
      <c r="C176" s="123"/>
    </row>
    <row r="177" spans="1:7" ht="15" x14ac:dyDescent="0.2">
      <c r="B177" s="26" t="s">
        <v>93</v>
      </c>
      <c r="C177" s="105">
        <v>1.4</v>
      </c>
      <c r="D177" s="36" t="s">
        <v>6</v>
      </c>
    </row>
    <row r="178" spans="1:7" ht="15" x14ac:dyDescent="0.2">
      <c r="B178" s="26" t="s">
        <v>66</v>
      </c>
      <c r="C178" s="136">
        <f>C27/100</f>
        <v>0.04</v>
      </c>
      <c r="F178" s="26" t="s">
        <v>4</v>
      </c>
    </row>
    <row r="179" spans="1:7" ht="15" x14ac:dyDescent="0.2">
      <c r="B179" s="26" t="s">
        <v>199</v>
      </c>
      <c r="C179" s="136">
        <f>C28%</f>
        <v>7.0000000000000007E-2</v>
      </c>
    </row>
    <row r="180" spans="1:7" ht="15" x14ac:dyDescent="0.2">
      <c r="B180" s="26" t="s">
        <v>133</v>
      </c>
      <c r="C180" s="124">
        <f>C178+(1-C178)*C179</f>
        <v>0.10720000000000002</v>
      </c>
    </row>
    <row r="181" spans="1:7" ht="15" x14ac:dyDescent="0.2">
      <c r="B181" s="233" t="s">
        <v>209</v>
      </c>
      <c r="C181" s="234">
        <v>12.2</v>
      </c>
      <c r="D181" s="26" t="s">
        <v>341</v>
      </c>
    </row>
    <row r="182" spans="1:7" x14ac:dyDescent="0.2">
      <c r="A182" s="7"/>
      <c r="B182" s="32" t="s">
        <v>69</v>
      </c>
      <c r="C182" s="125">
        <v>13</v>
      </c>
      <c r="D182" s="7"/>
      <c r="E182" s="7"/>
      <c r="F182" s="7"/>
      <c r="G182" s="7"/>
    </row>
    <row r="183" spans="1:7" x14ac:dyDescent="0.2">
      <c r="A183" s="7"/>
      <c r="E183" s="7"/>
      <c r="F183" s="7"/>
      <c r="G183" s="7"/>
    </row>
    <row r="184" spans="1:7" x14ac:dyDescent="0.2">
      <c r="A184" s="7"/>
      <c r="B184" s="6" t="s">
        <v>188</v>
      </c>
      <c r="C184" s="2"/>
      <c r="D184" s="2"/>
      <c r="E184" s="7"/>
      <c r="F184" s="7"/>
      <c r="G184" s="7"/>
    </row>
    <row r="185" spans="1:7" x14ac:dyDescent="0.2">
      <c r="A185" s="7"/>
      <c r="B185" s="6" t="s">
        <v>55</v>
      </c>
      <c r="C185" s="26" t="s">
        <v>339</v>
      </c>
      <c r="D185" s="26" t="s">
        <v>340</v>
      </c>
      <c r="E185" s="7"/>
      <c r="F185" s="7"/>
      <c r="G185" s="7"/>
    </row>
    <row r="186" spans="1:7" x14ac:dyDescent="0.2">
      <c r="A186" s="7"/>
      <c r="B186" s="26" t="s">
        <v>172</v>
      </c>
      <c r="C186" s="28">
        <f>C36</f>
        <v>26</v>
      </c>
      <c r="D186" s="28">
        <f>D36</f>
        <v>26</v>
      </c>
      <c r="E186" s="7"/>
      <c r="F186" s="7"/>
      <c r="G186" s="7"/>
    </row>
    <row r="187" spans="1:7" x14ac:dyDescent="0.2">
      <c r="A187" s="7"/>
      <c r="B187" s="26" t="s">
        <v>56</v>
      </c>
      <c r="C187" s="14">
        <f>C186-5</f>
        <v>21</v>
      </c>
      <c r="D187" s="14">
        <f>D186-5</f>
        <v>21</v>
      </c>
      <c r="E187" s="7"/>
      <c r="F187" s="7"/>
      <c r="G187" s="7"/>
    </row>
    <row r="188" spans="1:7" x14ac:dyDescent="0.2">
      <c r="A188" s="7"/>
      <c r="B188" s="26" t="s">
        <v>57</v>
      </c>
      <c r="C188" s="14">
        <f>(C186-7)*0.5</f>
        <v>9.5</v>
      </c>
      <c r="D188" s="14">
        <f>(D186-7)*0.5</f>
        <v>9.5</v>
      </c>
      <c r="E188" s="7"/>
      <c r="F188" s="7"/>
      <c r="G188" s="7"/>
    </row>
    <row r="189" spans="1:7" x14ac:dyDescent="0.2">
      <c r="A189" s="7"/>
      <c r="B189" s="26" t="s">
        <v>123</v>
      </c>
      <c r="C189" s="14">
        <v>7</v>
      </c>
      <c r="D189" s="14">
        <v>7</v>
      </c>
      <c r="E189" s="7"/>
      <c r="F189" s="7"/>
      <c r="G189" s="7"/>
    </row>
    <row r="190" spans="1:7" x14ac:dyDescent="0.2">
      <c r="A190" s="7"/>
      <c r="B190" s="26"/>
      <c r="E190" s="7"/>
      <c r="F190" s="7"/>
      <c r="G190" s="7"/>
    </row>
    <row r="191" spans="1:7" x14ac:dyDescent="0.2">
      <c r="A191" s="7"/>
      <c r="B191" s="26" t="s">
        <v>58</v>
      </c>
      <c r="C191" s="14">
        <f>C186</f>
        <v>26</v>
      </c>
      <c r="D191" s="14">
        <f>D186</f>
        <v>26</v>
      </c>
      <c r="E191" s="7"/>
      <c r="F191" s="7"/>
      <c r="G191" s="7"/>
    </row>
    <row r="192" spans="1:7" x14ac:dyDescent="0.2">
      <c r="A192" s="7"/>
      <c r="B192" s="26" t="s">
        <v>208</v>
      </c>
      <c r="C192" s="14">
        <f>C187</f>
        <v>21</v>
      </c>
      <c r="D192" s="14">
        <f>D187</f>
        <v>21</v>
      </c>
      <c r="E192" s="7"/>
      <c r="F192" s="7"/>
      <c r="G192" s="7"/>
    </row>
    <row r="193" spans="1:7" x14ac:dyDescent="0.2">
      <c r="A193" s="7"/>
      <c r="B193" s="26" t="s">
        <v>60</v>
      </c>
      <c r="C193" s="14">
        <f>C191-3.5</f>
        <v>22.5</v>
      </c>
      <c r="D193" s="14">
        <f>D191-3.5</f>
        <v>22.5</v>
      </c>
      <c r="E193" s="7"/>
      <c r="F193" s="7"/>
      <c r="G193" s="7"/>
    </row>
    <row r="194" spans="1:7" x14ac:dyDescent="0.2">
      <c r="B194" s="26" t="s">
        <v>59</v>
      </c>
      <c r="C194" s="14">
        <f>C186+C189</f>
        <v>33</v>
      </c>
      <c r="D194" s="14">
        <f>D186+D189</f>
        <v>33</v>
      </c>
      <c r="G194" s="7"/>
    </row>
    <row r="195" spans="1:7" x14ac:dyDescent="0.2">
      <c r="G195" s="7"/>
    </row>
    <row r="196" spans="1:7" ht="18" x14ac:dyDescent="0.25">
      <c r="B196" s="110" t="s">
        <v>287</v>
      </c>
      <c r="C196" s="109"/>
      <c r="G196" s="7"/>
    </row>
    <row r="197" spans="1:7" x14ac:dyDescent="0.2">
      <c r="B197" s="32" t="s">
        <v>174</v>
      </c>
      <c r="C197" s="141">
        <f>D44</f>
        <v>26</v>
      </c>
      <c r="E197" s="26" t="s">
        <v>4</v>
      </c>
      <c r="F197" s="7"/>
      <c r="G197" s="7"/>
    </row>
    <row r="198" spans="1:7" x14ac:dyDescent="0.2">
      <c r="B198" s="32" t="s">
        <v>175</v>
      </c>
      <c r="C198" s="23">
        <f>VLOOKUP(26,C369:F427,4,FALSE)</f>
        <v>10.865311739326149</v>
      </c>
      <c r="D198" s="32" t="s">
        <v>75</v>
      </c>
      <c r="E198" s="7"/>
      <c r="F198" s="32"/>
      <c r="G198" s="7"/>
    </row>
    <row r="199" spans="1:7" x14ac:dyDescent="0.2">
      <c r="B199" s="32" t="s">
        <v>176</v>
      </c>
      <c r="C199" s="111">
        <v>0.5</v>
      </c>
      <c r="D199" s="32" t="s">
        <v>75</v>
      </c>
      <c r="E199" s="7"/>
      <c r="F199" s="7"/>
      <c r="G199" s="7"/>
    </row>
    <row r="200" spans="1:7" x14ac:dyDescent="0.2">
      <c r="B200" s="32" t="s">
        <v>337</v>
      </c>
      <c r="C200" s="112">
        <v>0.66</v>
      </c>
      <c r="D200" s="32" t="s">
        <v>128</v>
      </c>
      <c r="E200" s="7"/>
      <c r="F200" s="32" t="s">
        <v>4</v>
      </c>
      <c r="G200" s="7"/>
    </row>
    <row r="201" spans="1:7" x14ac:dyDescent="0.2">
      <c r="B201" s="26" t="s">
        <v>201</v>
      </c>
      <c r="C201" s="51">
        <v>18</v>
      </c>
      <c r="D201" s="26" t="s">
        <v>129</v>
      </c>
    </row>
    <row r="202" spans="1:7" x14ac:dyDescent="0.2">
      <c r="B202" s="26" t="s">
        <v>257</v>
      </c>
      <c r="C202" s="51">
        <f>0.29</f>
        <v>0.28999999999999998</v>
      </c>
      <c r="D202" s="51" t="s">
        <v>12</v>
      </c>
    </row>
    <row r="203" spans="1:7" x14ac:dyDescent="0.2">
      <c r="B203" s="26"/>
    </row>
    <row r="204" spans="1:7" x14ac:dyDescent="0.2">
      <c r="F204" s="26" t="s">
        <v>131</v>
      </c>
    </row>
    <row r="205" spans="1:7" x14ac:dyDescent="0.2">
      <c r="B205" s="26" t="s">
        <v>342</v>
      </c>
      <c r="C205" s="252">
        <v>1.1000000000000001</v>
      </c>
      <c r="D205" s="26" t="s">
        <v>37</v>
      </c>
      <c r="F205" s="26" t="s">
        <v>130</v>
      </c>
    </row>
    <row r="206" spans="1:7" x14ac:dyDescent="0.2">
      <c r="B206" s="26" t="s">
        <v>319</v>
      </c>
      <c r="C206" s="252">
        <v>1.25</v>
      </c>
      <c r="D206" s="26" t="s">
        <v>37</v>
      </c>
      <c r="F206" s="26" t="s">
        <v>352</v>
      </c>
      <c r="G206" s="26" t="s">
        <v>4</v>
      </c>
    </row>
    <row r="207" spans="1:7" x14ac:dyDescent="0.2">
      <c r="B207" s="26" t="s">
        <v>251</v>
      </c>
      <c r="C207" s="252">
        <v>2</v>
      </c>
      <c r="D207" s="26" t="s">
        <v>37</v>
      </c>
      <c r="F207" s="51" t="str">
        <f>"1,6-2,1"</f>
        <v>1,6-2,1</v>
      </c>
    </row>
    <row r="208" spans="1:7" x14ac:dyDescent="0.2">
      <c r="B208" s="26" t="s">
        <v>333</v>
      </c>
      <c r="C208" s="119">
        <v>60</v>
      </c>
      <c r="D208" s="36"/>
    </row>
    <row r="209" spans="2:6" x14ac:dyDescent="0.2">
      <c r="B209" s="26" t="s">
        <v>334</v>
      </c>
      <c r="C209" s="120">
        <f>VLOOKUP(26,B440:D476,3,FALSE)+C177</f>
        <v>5.0780099597475594</v>
      </c>
      <c r="D209" s="36" t="s">
        <v>236</v>
      </c>
    </row>
    <row r="210" spans="2:6" x14ac:dyDescent="0.2">
      <c r="B210" s="26" t="s">
        <v>335</v>
      </c>
      <c r="C210" s="235">
        <v>0.8</v>
      </c>
      <c r="D210" s="36"/>
    </row>
    <row r="211" spans="2:6" x14ac:dyDescent="0.2">
      <c r="B211" s="26"/>
      <c r="C211" s="120"/>
      <c r="D211" s="36"/>
    </row>
    <row r="212" spans="2:6" x14ac:dyDescent="0.2">
      <c r="B212" s="51" t="str">
        <f xml:space="preserve"> "Beregnet af: " &amp;C$2</f>
        <v>Beregnet af: MGC@seges.dk</v>
      </c>
      <c r="F212" s="51" t="str">
        <f>"For: "&amp;C$3</f>
        <v>For: L.L</v>
      </c>
    </row>
    <row r="215" spans="2:6" ht="18" x14ac:dyDescent="0.25">
      <c r="B215" s="50" t="s">
        <v>360</v>
      </c>
      <c r="C215" s="36"/>
      <c r="D215" s="36"/>
    </row>
    <row r="216" spans="2:6" ht="13.5" thickBot="1" x14ac:dyDescent="0.25">
      <c r="B216" s="26" t="s">
        <v>292</v>
      </c>
      <c r="C216" s="120"/>
      <c r="D216" s="36"/>
    </row>
    <row r="217" spans="2:6" x14ac:dyDescent="0.2">
      <c r="B217" s="67"/>
      <c r="C217" s="68" t="s">
        <v>99</v>
      </c>
      <c r="D217" s="69" t="s">
        <v>100</v>
      </c>
      <c r="E217" s="113" t="s">
        <v>101</v>
      </c>
      <c r="F217" s="70" t="s">
        <v>207</v>
      </c>
    </row>
    <row r="218" spans="2:6" x14ac:dyDescent="0.2">
      <c r="B218" s="71" t="s">
        <v>98</v>
      </c>
      <c r="C218" s="137">
        <f>D53</f>
        <v>1.78</v>
      </c>
      <c r="D218" s="138">
        <f>D55</f>
        <v>16.309999999999999</v>
      </c>
      <c r="E218" s="114">
        <f>D218/C218</f>
        <v>9.1629213483146064</v>
      </c>
      <c r="F218" s="171">
        <v>7</v>
      </c>
    </row>
    <row r="219" spans="2:6" x14ac:dyDescent="0.2">
      <c r="B219" s="71" t="s">
        <v>97</v>
      </c>
      <c r="C219" s="137">
        <f>D54</f>
        <v>1.47</v>
      </c>
      <c r="D219" s="138">
        <f>D56</f>
        <v>12</v>
      </c>
      <c r="E219" s="114">
        <f>D219/C219</f>
        <v>8.1632653061224492</v>
      </c>
      <c r="F219" s="171">
        <v>7</v>
      </c>
    </row>
    <row r="220" spans="2:6" ht="13.5" thickBot="1" x14ac:dyDescent="0.25">
      <c r="B220" s="72" t="s">
        <v>336</v>
      </c>
      <c r="C220" s="73">
        <v>0.05</v>
      </c>
      <c r="D220" s="74"/>
      <c r="E220" s="115"/>
      <c r="F220" s="75"/>
    </row>
    <row r="221" spans="2:6" x14ac:dyDescent="0.2">
      <c r="B221" s="26"/>
      <c r="C221" s="120"/>
      <c r="D221" s="36"/>
    </row>
    <row r="222" spans="2:6" x14ac:dyDescent="0.2">
      <c r="B222" s="51" t="str">
        <f xml:space="preserve"> "Beregnet af: " &amp;C$2</f>
        <v>Beregnet af: MGC@seges.dk</v>
      </c>
      <c r="F222" s="51" t="str">
        <f>"For: "&amp;C$3</f>
        <v>For: L.L</v>
      </c>
    </row>
    <row r="223" spans="2:6" ht="15.75" thickBot="1" x14ac:dyDescent="0.25">
      <c r="B223" s="26"/>
      <c r="C223" s="43"/>
      <c r="D223" s="26"/>
    </row>
    <row r="224" spans="2:6" ht="38.25" x14ac:dyDescent="0.2">
      <c r="B224" s="91" t="s">
        <v>89</v>
      </c>
      <c r="C224" s="85" t="s">
        <v>91</v>
      </c>
      <c r="D224" s="86" t="s">
        <v>92</v>
      </c>
      <c r="E224" s="86" t="s">
        <v>112</v>
      </c>
      <c r="F224" s="92" t="s">
        <v>113</v>
      </c>
    </row>
    <row r="225" spans="2:11" ht="15" x14ac:dyDescent="0.2">
      <c r="B225" s="71" t="s">
        <v>90</v>
      </c>
      <c r="C225" s="83">
        <v>0</v>
      </c>
      <c r="D225" s="63">
        <v>10</v>
      </c>
      <c r="E225" s="84">
        <f>1000*F239*$C$206/C218/(D225-C225)</f>
        <v>14.028360404573249</v>
      </c>
      <c r="F225" s="87">
        <f>1000*G239*$C$207/C218/(D225-C225)</f>
        <v>102.02443930598727</v>
      </c>
    </row>
    <row r="226" spans="2:11" ht="15.75" thickBot="1" x14ac:dyDescent="0.25">
      <c r="B226" s="72" t="s">
        <v>97</v>
      </c>
      <c r="C226" s="88">
        <f>D225</f>
        <v>10</v>
      </c>
      <c r="D226" s="74">
        <f>ROUND(D186,0)</f>
        <v>26</v>
      </c>
      <c r="E226" s="89">
        <f>1000*F240*$C$206/C219/(D226-C226)</f>
        <v>32.387241655152003</v>
      </c>
      <c r="F226" s="90">
        <f>1000*G240*$C$207/C219/(D226-C226)</f>
        <v>235.54357567383278</v>
      </c>
      <c r="K226" s="26" t="s">
        <v>4</v>
      </c>
    </row>
    <row r="227" spans="2:11" ht="15" x14ac:dyDescent="0.2">
      <c r="B227" s="26"/>
      <c r="C227" s="43"/>
    </row>
    <row r="228" spans="2:11" x14ac:dyDescent="0.2">
      <c r="B228" s="217" t="s">
        <v>320</v>
      </c>
      <c r="C228" s="131"/>
      <c r="D228" s="131"/>
      <c r="E228" s="131"/>
      <c r="G228" s="26"/>
      <c r="H228" s="112"/>
      <c r="I228" s="112"/>
    </row>
    <row r="229" spans="2:11" ht="38.25" x14ac:dyDescent="0.2">
      <c r="B229" s="95" t="s">
        <v>245</v>
      </c>
      <c r="C229" s="96" t="str">
        <f t="shared" ref="C229:E236" si="12">H333</f>
        <v>Startblanding i gram/fravænnet gris</v>
      </c>
      <c r="D229" s="96" t="str">
        <f t="shared" si="12"/>
        <v>Slutblanding i gram/fravænnet gris</v>
      </c>
      <c r="E229" s="96" t="str">
        <f t="shared" si="12"/>
        <v>I alt gram/fravænnet</v>
      </c>
      <c r="G229" s="26"/>
      <c r="H229" s="112"/>
      <c r="I229" s="112"/>
    </row>
    <row r="230" spans="2:11" x14ac:dyDescent="0.2">
      <c r="B230" s="94">
        <f t="shared" ref="B230:B236" si="13">G334</f>
        <v>12</v>
      </c>
      <c r="C230" s="84">
        <f t="shared" si="12"/>
        <v>94.917118815008365</v>
      </c>
      <c r="D230" s="84">
        <f t="shared" si="12"/>
        <v>337.83300488499719</v>
      </c>
      <c r="E230" s="84">
        <f t="shared" si="12"/>
        <v>432.75012370000559</v>
      </c>
      <c r="G230" s="26"/>
      <c r="H230" s="112"/>
      <c r="I230" s="112"/>
    </row>
    <row r="231" spans="2:11" x14ac:dyDescent="0.2">
      <c r="B231" s="94">
        <f t="shared" si="13"/>
        <v>13</v>
      </c>
      <c r="C231" s="84">
        <f t="shared" si="12"/>
        <v>102.82687871625907</v>
      </c>
      <c r="D231" s="84">
        <f t="shared" si="12"/>
        <v>365.98575529208028</v>
      </c>
      <c r="E231" s="84">
        <f t="shared" si="12"/>
        <v>468.81263400833939</v>
      </c>
      <c r="G231" s="26"/>
      <c r="H231" s="112"/>
      <c r="I231" s="112"/>
    </row>
    <row r="232" spans="2:11" x14ac:dyDescent="0.2">
      <c r="B232" s="94">
        <f t="shared" si="13"/>
        <v>14</v>
      </c>
      <c r="C232" s="84">
        <f t="shared" si="12"/>
        <v>118.94004230151342</v>
      </c>
      <c r="D232" s="84">
        <f t="shared" si="12"/>
        <v>389.46986057559695</v>
      </c>
      <c r="E232" s="84">
        <f t="shared" si="12"/>
        <v>508.40990287711037</v>
      </c>
      <c r="G232" s="26"/>
      <c r="H232" s="112"/>
      <c r="I232" s="112"/>
    </row>
    <row r="233" spans="2:11" x14ac:dyDescent="0.2">
      <c r="B233" s="94">
        <f t="shared" si="13"/>
        <v>15</v>
      </c>
      <c r="C233" s="84">
        <f t="shared" si="12"/>
        <v>142.91393748229527</v>
      </c>
      <c r="D233" s="84">
        <f t="shared" si="12"/>
        <v>692.8833823158235</v>
      </c>
      <c r="E233" s="84">
        <f t="shared" si="12"/>
        <v>835.79731979811879</v>
      </c>
      <c r="G233" s="26"/>
      <c r="H233" s="112"/>
      <c r="I233" s="112"/>
    </row>
    <row r="234" spans="2:11" x14ac:dyDescent="0.2">
      <c r="B234" s="94">
        <f t="shared" si="13"/>
        <v>16</v>
      </c>
      <c r="C234" s="84">
        <f t="shared" si="12"/>
        <v>166.50232656354143</v>
      </c>
      <c r="D234" s="84">
        <f t="shared" si="12"/>
        <v>757.13130204369986</v>
      </c>
      <c r="E234" s="84">
        <f t="shared" si="12"/>
        <v>923.63362860724123</v>
      </c>
      <c r="G234" s="26"/>
      <c r="H234" s="112"/>
      <c r="I234" s="112"/>
    </row>
    <row r="235" spans="2:11" x14ac:dyDescent="0.2">
      <c r="B235" s="94">
        <f t="shared" si="13"/>
        <v>17</v>
      </c>
      <c r="C235" s="84">
        <f t="shared" si="12"/>
        <v>189.77324003340533</v>
      </c>
      <c r="D235" s="84">
        <f t="shared" si="12"/>
        <v>818.73853764086152</v>
      </c>
      <c r="E235" s="84">
        <f t="shared" si="12"/>
        <v>1008.5117776742668</v>
      </c>
      <c r="G235" s="26"/>
      <c r="H235" s="112"/>
      <c r="I235" s="112"/>
    </row>
    <row r="236" spans="2:11" x14ac:dyDescent="0.2">
      <c r="B236" s="94">
        <f t="shared" si="13"/>
        <v>18</v>
      </c>
      <c r="C236" s="84">
        <f t="shared" si="12"/>
        <v>212.77959049378393</v>
      </c>
      <c r="D236" s="84">
        <f t="shared" si="12"/>
        <v>877.959299024095</v>
      </c>
      <c r="E236" s="84">
        <f t="shared" si="12"/>
        <v>1090.738889517879</v>
      </c>
      <c r="G236" s="26"/>
      <c r="H236" s="112"/>
      <c r="I236" s="112"/>
    </row>
    <row r="237" spans="2:11" x14ac:dyDescent="0.2">
      <c r="B237" s="7"/>
      <c r="C237" s="129"/>
      <c r="D237" s="129"/>
      <c r="E237" s="129"/>
      <c r="G237" s="26"/>
      <c r="H237" s="112"/>
      <c r="I237" s="112"/>
    </row>
    <row r="238" spans="2:11" ht="38.25" x14ac:dyDescent="0.2">
      <c r="B238" s="7"/>
      <c r="C238" s="129"/>
      <c r="D238" s="129"/>
      <c r="E238" s="18"/>
      <c r="F238" s="95" t="s">
        <v>254</v>
      </c>
      <c r="G238" s="95" t="s">
        <v>126</v>
      </c>
      <c r="H238" s="112"/>
      <c r="I238" s="112"/>
    </row>
    <row r="239" spans="2:11" x14ac:dyDescent="0.2">
      <c r="B239" s="7"/>
      <c r="C239" s="129"/>
      <c r="D239" s="129"/>
      <c r="E239" s="26" t="s">
        <v>358</v>
      </c>
      <c r="F239" s="107">
        <f>G239*0.22</f>
        <v>0.19976385216112308</v>
      </c>
      <c r="G239" s="107">
        <f>VLOOKUP(D225,$B$440:$D$476,3,FALSE)</f>
        <v>0.90801750982328677</v>
      </c>
      <c r="H239" s="112"/>
      <c r="I239" s="112"/>
    </row>
    <row r="240" spans="2:11" x14ac:dyDescent="0.2">
      <c r="B240" s="7"/>
      <c r="C240" s="129"/>
      <c r="D240" s="129"/>
      <c r="E240" s="26" t="s">
        <v>359</v>
      </c>
      <c r="F240" s="107">
        <f>G240*0.22</f>
        <v>0.60939833898334006</v>
      </c>
      <c r="G240" s="107">
        <f>(VLOOKUP(D226,$B$440:$D$476,3,FALSE)-VLOOKUP(C226,$B$440:$D$476,3,FALSE))</f>
        <v>2.7699924499242732</v>
      </c>
      <c r="H240" s="112"/>
      <c r="I240" s="112"/>
    </row>
    <row r="241" spans="2:9" x14ac:dyDescent="0.2">
      <c r="B241" s="7"/>
      <c r="C241" s="129"/>
      <c r="D241" s="129"/>
      <c r="E241" s="26" t="s">
        <v>44</v>
      </c>
      <c r="F241" s="107">
        <f>SUM(F239:F240)</f>
        <v>0.80916219114446308</v>
      </c>
      <c r="G241" s="107">
        <f>SUM(G239:G240)</f>
        <v>3.67800995974756</v>
      </c>
      <c r="H241" s="112"/>
      <c r="I241" s="112"/>
    </row>
    <row r="242" spans="2:9" x14ac:dyDescent="0.2">
      <c r="B242" s="7"/>
      <c r="C242" s="129"/>
      <c r="D242" s="129"/>
      <c r="E242" s="129"/>
      <c r="G242" s="26"/>
      <c r="H242" s="112"/>
      <c r="I242" s="112"/>
    </row>
    <row r="243" spans="2:9" x14ac:dyDescent="0.2">
      <c r="B243" s="7"/>
      <c r="C243" s="129"/>
      <c r="D243" s="129"/>
      <c r="E243" s="129"/>
      <c r="G243" s="26"/>
      <c r="H243" s="112"/>
      <c r="I243" s="112"/>
    </row>
    <row r="244" spans="2:9" x14ac:dyDescent="0.2">
      <c r="B244" s="7"/>
      <c r="C244" s="129"/>
      <c r="D244" s="129"/>
      <c r="E244" s="129"/>
      <c r="G244" s="26"/>
      <c r="H244" s="112"/>
      <c r="I244" s="112"/>
    </row>
    <row r="245" spans="2:9" x14ac:dyDescent="0.2">
      <c r="B245" s="7"/>
      <c r="C245" s="129"/>
      <c r="D245" s="129"/>
      <c r="E245" s="129"/>
      <c r="G245" s="26"/>
      <c r="H245" s="112"/>
      <c r="I245" s="112"/>
    </row>
    <row r="246" spans="2:9" x14ac:dyDescent="0.2">
      <c r="B246" s="7"/>
      <c r="C246" s="129"/>
      <c r="D246" s="129"/>
      <c r="E246" s="129"/>
      <c r="G246" s="26"/>
      <c r="H246" s="112"/>
      <c r="I246" s="112"/>
    </row>
    <row r="247" spans="2:9" x14ac:dyDescent="0.2">
      <c r="B247" s="7"/>
      <c r="C247" s="129"/>
      <c r="D247" s="129"/>
      <c r="E247" s="129"/>
      <c r="G247" s="26"/>
      <c r="H247" s="112"/>
      <c r="I247" s="112"/>
    </row>
    <row r="248" spans="2:9" x14ac:dyDescent="0.2">
      <c r="B248" s="7"/>
      <c r="C248" s="129"/>
      <c r="D248" s="129"/>
      <c r="E248" s="129"/>
      <c r="G248" s="26"/>
      <c r="H248" s="112"/>
      <c r="I248" s="112"/>
    </row>
    <row r="249" spans="2:9" x14ac:dyDescent="0.2">
      <c r="B249" s="7"/>
      <c r="C249" s="129"/>
      <c r="D249" s="129"/>
      <c r="E249" s="129"/>
      <c r="G249" s="26"/>
      <c r="H249" s="112"/>
      <c r="I249" s="112"/>
    </row>
    <row r="250" spans="2:9" x14ac:dyDescent="0.2">
      <c r="B250" s="7"/>
      <c r="C250" s="129"/>
      <c r="D250" s="129"/>
      <c r="E250" s="129"/>
      <c r="G250" s="26"/>
      <c r="H250" s="112"/>
      <c r="I250" s="112"/>
    </row>
    <row r="251" spans="2:9" x14ac:dyDescent="0.2">
      <c r="B251" s="7"/>
      <c r="C251" s="129"/>
      <c r="D251" s="129"/>
      <c r="E251" s="129"/>
      <c r="G251" s="26"/>
      <c r="H251" s="112"/>
      <c r="I251" s="112"/>
    </row>
    <row r="252" spans="2:9" x14ac:dyDescent="0.2">
      <c r="B252" s="7"/>
      <c r="C252" s="129"/>
      <c r="D252" s="129"/>
      <c r="E252" s="129"/>
      <c r="G252" s="26"/>
      <c r="H252" s="112"/>
      <c r="I252" s="112"/>
    </row>
    <row r="253" spans="2:9" x14ac:dyDescent="0.2">
      <c r="B253" s="7"/>
      <c r="C253" s="129"/>
      <c r="D253" s="129"/>
      <c r="E253" s="129"/>
      <c r="G253" s="26"/>
      <c r="H253" s="112"/>
      <c r="I253" s="112"/>
    </row>
    <row r="254" spans="2:9" x14ac:dyDescent="0.2">
      <c r="B254" s="7"/>
      <c r="C254" s="129"/>
      <c r="D254" s="129"/>
      <c r="E254" s="129"/>
      <c r="G254" s="26"/>
      <c r="H254" s="112"/>
      <c r="I254" s="112"/>
    </row>
    <row r="255" spans="2:9" x14ac:dyDescent="0.2">
      <c r="B255" s="7"/>
      <c r="C255" s="129"/>
      <c r="D255" s="129"/>
      <c r="E255" s="129"/>
      <c r="G255" s="26"/>
      <c r="H255" s="112"/>
      <c r="I255" s="112"/>
    </row>
    <row r="256" spans="2:9" x14ac:dyDescent="0.2">
      <c r="B256" s="7"/>
      <c r="C256" s="129"/>
      <c r="D256" s="129"/>
      <c r="E256" s="129"/>
      <c r="G256" s="26"/>
      <c r="H256" s="112"/>
      <c r="I256" s="112"/>
    </row>
    <row r="257" spans="2:9" hidden="1" x14ac:dyDescent="0.2">
      <c r="B257" s="7"/>
      <c r="C257" s="129"/>
      <c r="D257" s="129"/>
      <c r="E257" s="129"/>
      <c r="G257" s="26"/>
      <c r="H257" s="112"/>
      <c r="I257" s="112"/>
    </row>
    <row r="258" spans="2:9" hidden="1" x14ac:dyDescent="0.2">
      <c r="B258" s="7"/>
      <c r="C258" s="129"/>
      <c r="D258" s="129"/>
      <c r="E258" s="129"/>
      <c r="G258" s="26"/>
      <c r="H258" s="112"/>
      <c r="I258" s="112"/>
    </row>
    <row r="259" spans="2:9" hidden="1" x14ac:dyDescent="0.2">
      <c r="B259" s="7"/>
      <c r="C259" s="129"/>
      <c r="D259" s="129"/>
      <c r="E259" s="129"/>
      <c r="G259" s="26"/>
      <c r="H259" s="112"/>
      <c r="I259" s="112"/>
    </row>
    <row r="260" spans="2:9" hidden="1" x14ac:dyDescent="0.2">
      <c r="B260" s="7"/>
      <c r="C260" s="129"/>
      <c r="D260" s="129"/>
      <c r="E260" s="129"/>
      <c r="G260" s="26"/>
      <c r="H260" s="112"/>
      <c r="I260" s="112"/>
    </row>
    <row r="261" spans="2:9" ht="15" hidden="1" x14ac:dyDescent="0.2">
      <c r="B261" s="26" t="s">
        <v>315</v>
      </c>
      <c r="C261" s="43"/>
      <c r="G261" s="26"/>
      <c r="H261" s="19"/>
      <c r="I261" s="19"/>
    </row>
    <row r="262" spans="2:9" hidden="1" x14ac:dyDescent="0.2">
      <c r="B262" s="44" t="s">
        <v>64</v>
      </c>
      <c r="C262" s="135" t="s">
        <v>20</v>
      </c>
      <c r="D262" s="135" t="s">
        <v>21</v>
      </c>
    </row>
    <row r="263" spans="2:9" hidden="1" x14ac:dyDescent="0.2">
      <c r="B263" s="6" t="s">
        <v>61</v>
      </c>
    </row>
    <row r="264" spans="2:9" hidden="1" x14ac:dyDescent="0.2">
      <c r="B264" s="26" t="s">
        <v>0</v>
      </c>
      <c r="C264" s="134">
        <f>F26</f>
        <v>16.5</v>
      </c>
      <c r="D264" s="134">
        <f>G26</f>
        <v>16.5</v>
      </c>
    </row>
    <row r="265" spans="2:9" hidden="1" x14ac:dyDescent="0.2">
      <c r="B265" s="26" t="s">
        <v>67</v>
      </c>
      <c r="C265" s="52">
        <f>C264*(1-$C$178)</f>
        <v>15.84</v>
      </c>
      <c r="D265" s="52">
        <f>D264*(1-$C$178)</f>
        <v>15.84</v>
      </c>
    </row>
    <row r="266" spans="2:9" hidden="1" x14ac:dyDescent="0.2">
      <c r="B266" s="26" t="s">
        <v>24</v>
      </c>
      <c r="C266" s="134">
        <f>C29</f>
        <v>13.5</v>
      </c>
      <c r="D266" s="134">
        <f>D29</f>
        <v>15.5</v>
      </c>
    </row>
    <row r="267" spans="2:9" ht="15" hidden="1" x14ac:dyDescent="0.2">
      <c r="B267" s="26" t="s">
        <v>269</v>
      </c>
      <c r="C267" s="42">
        <f>C265/C266-1</f>
        <v>0.17333333333333334</v>
      </c>
      <c r="D267" s="42">
        <f>D265/D266-1</f>
        <v>2.1935483870967776E-2</v>
      </c>
    </row>
    <row r="268" spans="2:9" ht="15" hidden="1" x14ac:dyDescent="0.2">
      <c r="B268" s="26" t="s">
        <v>134</v>
      </c>
      <c r="C268" s="45">
        <f>C264*$C$179</f>
        <v>1.155</v>
      </c>
      <c r="D268" s="45">
        <f>D264*$C$179</f>
        <v>1.155</v>
      </c>
    </row>
    <row r="269" spans="2:9" ht="15" hidden="1" x14ac:dyDescent="0.2">
      <c r="B269" s="26" t="s">
        <v>233</v>
      </c>
      <c r="C269" s="45">
        <f>C268/(1+C267)</f>
        <v>0.984375</v>
      </c>
      <c r="D269" s="45">
        <f>D268/(1+D267)</f>
        <v>1.1302083333333333</v>
      </c>
    </row>
    <row r="270" spans="2:9" ht="15" hidden="1" x14ac:dyDescent="0.2">
      <c r="B270" s="26" t="s">
        <v>232</v>
      </c>
      <c r="C270" s="45">
        <f>C266-C269</f>
        <v>12.515625</v>
      </c>
      <c r="D270" s="45">
        <f>D266-D269</f>
        <v>14.369791666666666</v>
      </c>
      <c r="F270" s="30" t="s">
        <v>4</v>
      </c>
    </row>
    <row r="271" spans="2:9" ht="15" hidden="1" x14ac:dyDescent="0.2">
      <c r="B271" s="6" t="s">
        <v>234</v>
      </c>
      <c r="C271" s="42"/>
    </row>
    <row r="272" spans="2:9" ht="15" hidden="1" x14ac:dyDescent="0.2">
      <c r="B272" s="26" t="s">
        <v>265</v>
      </c>
      <c r="C272" s="43">
        <f>IF(C270&gt;$C$181,C270-$C$181,0)</f>
        <v>0.31562500000000071</v>
      </c>
      <c r="D272" s="43">
        <f>IF(D270&gt;$C$181,D270-$C$181,0)</f>
        <v>2.1697916666666668</v>
      </c>
    </row>
    <row r="273" spans="2:7" ht="15" hidden="1" x14ac:dyDescent="0.2">
      <c r="B273" s="26" t="s">
        <v>205</v>
      </c>
      <c r="C273" s="42"/>
      <c r="D273" s="216">
        <f>C210</f>
        <v>0.8</v>
      </c>
      <c r="F273" s="26" t="s">
        <v>4</v>
      </c>
      <c r="G273" s="26" t="s">
        <v>4</v>
      </c>
    </row>
    <row r="274" spans="2:7" ht="15" hidden="1" x14ac:dyDescent="0.2">
      <c r="B274" s="26" t="s">
        <v>235</v>
      </c>
      <c r="C274" s="43">
        <f>IF(C262="Ja",C272*(1-C273),0)</f>
        <v>0</v>
      </c>
      <c r="D274" s="43">
        <f>IF(D262="Ja",-D272*D273,0)</f>
        <v>-1.7358333333333336</v>
      </c>
    </row>
    <row r="275" spans="2:7" ht="15" hidden="1" x14ac:dyDescent="0.2">
      <c r="B275" s="26" t="s">
        <v>193</v>
      </c>
      <c r="C275" s="43">
        <f>C272+C274</f>
        <v>0.31562500000000071</v>
      </c>
      <c r="D275" s="43">
        <f>D272+D274</f>
        <v>0.43395833333333322</v>
      </c>
    </row>
    <row r="276" spans="2:7" ht="15" hidden="1" x14ac:dyDescent="0.2">
      <c r="B276" s="26" t="s">
        <v>68</v>
      </c>
      <c r="C276" s="215">
        <f>C31%</f>
        <v>0.25</v>
      </c>
      <c r="D276" s="215">
        <f>D31%</f>
        <v>1</v>
      </c>
      <c r="F276" s="26"/>
    </row>
    <row r="277" spans="2:7" hidden="1" x14ac:dyDescent="0.2">
      <c r="B277" s="26" t="s">
        <v>70</v>
      </c>
      <c r="C277" s="3">
        <f>C275*C276</f>
        <v>7.8906250000000178E-2</v>
      </c>
      <c r="D277" s="3">
        <f>D275*D276</f>
        <v>0.43395833333333322</v>
      </c>
      <c r="F277" s="26"/>
    </row>
    <row r="278" spans="2:7" hidden="1" x14ac:dyDescent="0.2">
      <c r="B278" s="26" t="s">
        <v>71</v>
      </c>
      <c r="C278" s="1">
        <f>(1+C267)*C277/$C$182</f>
        <v>7.1217948717948879E-3</v>
      </c>
      <c r="D278" s="1">
        <f>(1+D267)*D277/$C$182</f>
        <v>3.4113647642679892E-2</v>
      </c>
    </row>
    <row r="279" spans="2:7" ht="15" hidden="1" x14ac:dyDescent="0.2">
      <c r="B279" s="26" t="s">
        <v>72</v>
      </c>
      <c r="C279" s="45">
        <f>(C264-C265)+C268+(C275-C277)*(1+C267)</f>
        <v>2.0927500000000006</v>
      </c>
      <c r="D279" s="45">
        <f>(D264-D265)+D268+(D275-D277)*(1+D267)</f>
        <v>1.8150000000000002</v>
      </c>
    </row>
    <row r="280" spans="2:7" ht="13.5" hidden="1" thickBot="1" x14ac:dyDescent="0.25">
      <c r="B280" s="39" t="s">
        <v>87</v>
      </c>
      <c r="C280" s="46">
        <f>(C279/C264)</f>
        <v>0.12683333333333335</v>
      </c>
      <c r="D280" s="46">
        <f>(D279/D264)</f>
        <v>0.11000000000000001</v>
      </c>
      <c r="E280" s="13"/>
    </row>
    <row r="281" spans="2:7" hidden="1" x14ac:dyDescent="0.2">
      <c r="B281" s="34" t="s">
        <v>88</v>
      </c>
      <c r="C281" s="2">
        <f>C264-C279</f>
        <v>14.407249999999999</v>
      </c>
      <c r="D281" s="2">
        <f>D264-D279</f>
        <v>14.685</v>
      </c>
    </row>
    <row r="282" spans="2:7" hidden="1" x14ac:dyDescent="0.2">
      <c r="B282" s="34" t="s">
        <v>127</v>
      </c>
      <c r="C282" s="2">
        <f>C281/(1+C267+C278)</f>
        <v>12.204826473926287</v>
      </c>
      <c r="D282" s="2">
        <f>D281/(1+D267+D278)</f>
        <v>13.905603027154443</v>
      </c>
    </row>
    <row r="283" spans="2:7" hidden="1" x14ac:dyDescent="0.2">
      <c r="C283" s="18"/>
      <c r="D283" s="18"/>
    </row>
    <row r="284" spans="2:7" hidden="1" x14ac:dyDescent="0.2"/>
    <row r="285" spans="2:7" hidden="1" x14ac:dyDescent="0.2">
      <c r="B285" s="26"/>
    </row>
    <row r="286" spans="2:7" hidden="1" x14ac:dyDescent="0.2">
      <c r="B286" s="6" t="s">
        <v>54</v>
      </c>
    </row>
    <row r="287" spans="2:7" hidden="1" x14ac:dyDescent="0.2">
      <c r="B287" s="26" t="s">
        <v>125</v>
      </c>
      <c r="C287" s="16">
        <f>100%-C290</f>
        <v>1</v>
      </c>
      <c r="D287" s="16">
        <f>100%-D290</f>
        <v>1</v>
      </c>
    </row>
    <row r="288" spans="2:7" hidden="1" x14ac:dyDescent="0.2">
      <c r="B288" s="26" t="s">
        <v>25</v>
      </c>
      <c r="C288" s="11">
        <f>C267</f>
        <v>0.17333333333333334</v>
      </c>
      <c r="D288" s="11">
        <f>D267</f>
        <v>2.1935483870967776E-2</v>
      </c>
    </row>
    <row r="289" spans="2:7" hidden="1" x14ac:dyDescent="0.2">
      <c r="B289" s="26" t="s">
        <v>27</v>
      </c>
      <c r="C289" s="41">
        <f>C278</f>
        <v>7.1217948717948879E-3</v>
      </c>
      <c r="D289" s="41">
        <f>D278</f>
        <v>3.4113647642679892E-2</v>
      </c>
    </row>
    <row r="290" spans="2:7" hidden="1" x14ac:dyDescent="0.2">
      <c r="B290" s="26" t="s">
        <v>135</v>
      </c>
      <c r="C290" s="15">
        <v>0</v>
      </c>
      <c r="D290" s="15">
        <v>0</v>
      </c>
    </row>
    <row r="291" spans="2:7" ht="13.5" hidden="1" thickBot="1" x14ac:dyDescent="0.25">
      <c r="B291" s="39" t="s">
        <v>62</v>
      </c>
      <c r="C291" s="40">
        <f>SUMPRODUCT(C186:C189,C287:C290)</f>
        <v>29.707657051282052</v>
      </c>
      <c r="D291" s="40">
        <f>SUMPRODUCT(D186:D189,D287:D290)</f>
        <v>26.784724813895782</v>
      </c>
    </row>
    <row r="292" spans="2:7" hidden="1" x14ac:dyDescent="0.2">
      <c r="B292" s="34" t="s">
        <v>26</v>
      </c>
      <c r="C292" s="27">
        <f>C39</f>
        <v>9.4</v>
      </c>
      <c r="D292" s="27">
        <f>D39</f>
        <v>9.4</v>
      </c>
    </row>
    <row r="293" spans="2:7" hidden="1" x14ac:dyDescent="0.2">
      <c r="B293" s="34" t="s">
        <v>1</v>
      </c>
      <c r="C293" s="27">
        <f>C40</f>
        <v>116</v>
      </c>
      <c r="D293" s="27">
        <f>D40</f>
        <v>116</v>
      </c>
    </row>
    <row r="294" spans="2:7" hidden="1" x14ac:dyDescent="0.2">
      <c r="B294" s="34" t="s">
        <v>23</v>
      </c>
      <c r="C294" s="2">
        <f>365/SUM(C291:C293)</f>
        <v>2.3532042643086464</v>
      </c>
      <c r="D294" s="2">
        <f>365/SUM(D291:D293)</f>
        <v>2.398401025111768</v>
      </c>
    </row>
    <row r="295" spans="2:7" hidden="1" x14ac:dyDescent="0.2">
      <c r="B295" s="34" t="s">
        <v>22</v>
      </c>
      <c r="C295" s="2">
        <f>C281*C294</f>
        <v>33.903202136960743</v>
      </c>
      <c r="D295" s="2">
        <f>D281*D294</f>
        <v>35.220519053766317</v>
      </c>
      <c r="E295" s="30" t="s">
        <v>4</v>
      </c>
    </row>
    <row r="296" spans="2:7" hidden="1" x14ac:dyDescent="0.2">
      <c r="B296" s="34" t="s">
        <v>127</v>
      </c>
      <c r="C296" s="2">
        <f>C281/(SUM(C287:C290))</f>
        <v>12.204826473926287</v>
      </c>
      <c r="D296" s="2">
        <f>D281/(SUM(D287:D290))</f>
        <v>13.905603027154443</v>
      </c>
    </row>
    <row r="297" spans="2:7" hidden="1" x14ac:dyDescent="0.2">
      <c r="B297" s="34" t="s">
        <v>116</v>
      </c>
      <c r="C297" s="2">
        <f>C296+(C264*(1-$C$178)-C281)*0.5/(SUM(C287:C290))</f>
        <v>12.811689863210082</v>
      </c>
      <c r="D297" s="2">
        <f>D296+(D264*(1-$C$178)-D281)*0.5/(SUM(D287:D290))</f>
        <v>14.45245258440209</v>
      </c>
    </row>
    <row r="298" spans="2:7" hidden="1" x14ac:dyDescent="0.2">
      <c r="B298" s="34" t="s">
        <v>313</v>
      </c>
      <c r="C298" s="2">
        <f>100*C25*C291*C294/(C24*365)</f>
        <v>74.946237915576134</v>
      </c>
      <c r="D298" s="2">
        <f>100*D25*D291*D294/(D24*365)</f>
        <v>68.870113526963451</v>
      </c>
      <c r="F298" s="26" t="s">
        <v>4</v>
      </c>
      <c r="G298" s="26" t="s">
        <v>4</v>
      </c>
    </row>
    <row r="299" spans="2:7" hidden="1" x14ac:dyDescent="0.2">
      <c r="B299" s="34"/>
      <c r="C299" s="2"/>
      <c r="D299" s="2"/>
    </row>
    <row r="300" spans="2:7" hidden="1" x14ac:dyDescent="0.2">
      <c r="B300" s="34" t="s">
        <v>4</v>
      </c>
      <c r="C300" s="2"/>
      <c r="D300" s="2"/>
    </row>
    <row r="301" spans="2:7" hidden="1" x14ac:dyDescent="0.2">
      <c r="B301" s="58" t="s">
        <v>157</v>
      </c>
      <c r="C301" s="2"/>
      <c r="D301" s="2"/>
    </row>
    <row r="302" spans="2:7" hidden="1" x14ac:dyDescent="0.2">
      <c r="B302" s="34" t="s">
        <v>2</v>
      </c>
      <c r="C302" s="5">
        <f>C25</f>
        <v>900</v>
      </c>
      <c r="D302" s="5">
        <f>D25</f>
        <v>900</v>
      </c>
    </row>
    <row r="303" spans="2:7" hidden="1" x14ac:dyDescent="0.2">
      <c r="B303" s="34" t="s">
        <v>143</v>
      </c>
      <c r="C303" s="3">
        <f>F26</f>
        <v>16.5</v>
      </c>
      <c r="D303" s="3">
        <f>G26</f>
        <v>16.5</v>
      </c>
    </row>
    <row r="304" spans="2:7" hidden="1" x14ac:dyDescent="0.2">
      <c r="B304" s="34" t="s">
        <v>150</v>
      </c>
      <c r="C304" s="3">
        <f>C280*100</f>
        <v>12.683333333333335</v>
      </c>
      <c r="D304" s="3">
        <f>D280*100</f>
        <v>11.000000000000002</v>
      </c>
    </row>
    <row r="305" spans="2:4" hidden="1" x14ac:dyDescent="0.2">
      <c r="B305" s="34" t="s">
        <v>213</v>
      </c>
      <c r="C305" s="3">
        <f>C281</f>
        <v>14.407249999999999</v>
      </c>
      <c r="D305" s="3">
        <f>D281</f>
        <v>14.685</v>
      </c>
    </row>
    <row r="306" spans="2:4" hidden="1" x14ac:dyDescent="0.2">
      <c r="B306" s="34" t="s">
        <v>23</v>
      </c>
      <c r="C306" s="2">
        <f>C294</f>
        <v>2.3532042643086464</v>
      </c>
      <c r="D306" s="2">
        <f>D294</f>
        <v>2.398401025111768</v>
      </c>
    </row>
    <row r="307" spans="2:4" hidden="1" x14ac:dyDescent="0.2">
      <c r="B307" s="34" t="s">
        <v>22</v>
      </c>
      <c r="C307" s="2">
        <f>C295</f>
        <v>33.903202136960743</v>
      </c>
      <c r="D307" s="2">
        <f>D295</f>
        <v>35.220519053766317</v>
      </c>
    </row>
    <row r="308" spans="2:4" hidden="1" x14ac:dyDescent="0.2">
      <c r="B308" s="34" t="s">
        <v>214</v>
      </c>
      <c r="C308" s="2">
        <f>C336</f>
        <v>6.8334707609625678</v>
      </c>
      <c r="D308" s="2">
        <f>D336</f>
        <v>6.2009888101421602</v>
      </c>
    </row>
    <row r="309" spans="2:4" hidden="1" x14ac:dyDescent="0.2">
      <c r="B309" s="34" t="s">
        <v>142</v>
      </c>
      <c r="C309" s="2">
        <f>C337</f>
        <v>0</v>
      </c>
      <c r="D309" s="2">
        <f>D337</f>
        <v>1.0370863042778145</v>
      </c>
    </row>
    <row r="310" spans="2:4" hidden="1" x14ac:dyDescent="0.2">
      <c r="B310" s="34" t="s">
        <v>144</v>
      </c>
      <c r="C310" s="2">
        <f>SUM(C308:C309)</f>
        <v>6.8334707609625678</v>
      </c>
      <c r="D310" s="2">
        <f>SUM(D308:D309)</f>
        <v>7.2380751144199742</v>
      </c>
    </row>
    <row r="311" spans="2:4" hidden="1" x14ac:dyDescent="0.2">
      <c r="B311" s="34" t="s">
        <v>146</v>
      </c>
      <c r="C311" s="5">
        <f>C328</f>
        <v>1311.0713351365202</v>
      </c>
      <c r="D311" s="5">
        <f>D328</f>
        <v>1291.3176132043511</v>
      </c>
    </row>
    <row r="312" spans="2:4" hidden="1" x14ac:dyDescent="0.2">
      <c r="B312" s="34" t="s">
        <v>148</v>
      </c>
      <c r="C312" s="2">
        <f>C341</f>
        <v>0</v>
      </c>
      <c r="D312" s="2">
        <f>D341</f>
        <v>5.7229553646602689</v>
      </c>
    </row>
    <row r="313" spans="2:4" hidden="1" x14ac:dyDescent="0.2">
      <c r="B313" s="34" t="s">
        <v>148</v>
      </c>
      <c r="C313" s="2">
        <f>C342</f>
        <v>0</v>
      </c>
      <c r="D313" s="2">
        <f>D342</f>
        <v>26.82476384545447</v>
      </c>
    </row>
    <row r="314" spans="2:4" hidden="1" x14ac:dyDescent="0.2">
      <c r="B314" s="34" t="s">
        <v>145</v>
      </c>
      <c r="C314" s="4">
        <f>IF(C262="Ja",$C$161*C24,0)</f>
        <v>0</v>
      </c>
      <c r="D314" s="4">
        <f>IF(D262="Ja",$C$161*D24,0)</f>
        <v>253000</v>
      </c>
    </row>
    <row r="315" spans="2:4" hidden="1" x14ac:dyDescent="0.2">
      <c r="B315" s="34" t="s">
        <v>147</v>
      </c>
      <c r="C315" s="2">
        <f>C294*(SUM($C$172:$C$173)+SUM(C288:C290)*$C$174)</f>
        <v>8.2132183872537343</v>
      </c>
      <c r="D315" s="2">
        <f>D294*(SUM($C$172:$C$173)+SUM(D288:D290)*$C$174)</f>
        <v>8.2217776326194905</v>
      </c>
    </row>
    <row r="316" spans="2:4" hidden="1" x14ac:dyDescent="0.2">
      <c r="B316" s="34" t="s">
        <v>149</v>
      </c>
      <c r="C316" s="2">
        <f>IF(C262="Ja",$C$164*C302,0)</f>
        <v>0</v>
      </c>
      <c r="D316" s="4">
        <f>IF(D262="Ja",$C$164*D302,0)</f>
        <v>29700</v>
      </c>
    </row>
    <row r="317" spans="2:4" hidden="1" x14ac:dyDescent="0.2">
      <c r="B317" s="34" t="s">
        <v>227</v>
      </c>
      <c r="C317" s="2"/>
      <c r="D317" s="4">
        <f>D312*F218+D313*F219</f>
        <v>227.83403447080318</v>
      </c>
    </row>
    <row r="318" spans="2:4" hidden="1" x14ac:dyDescent="0.2">
      <c r="B318" s="34" t="s">
        <v>231</v>
      </c>
      <c r="C318" s="2"/>
      <c r="D318" s="4">
        <f>D317+SUM(D312:D313)</f>
        <v>260.38175368091788</v>
      </c>
    </row>
    <row r="319" spans="2:4" hidden="1" x14ac:dyDescent="0.2"/>
    <row r="320" spans="2:4" hidden="1" x14ac:dyDescent="0.2">
      <c r="B320" s="58" t="s">
        <v>173</v>
      </c>
      <c r="C320" s="3">
        <f>(VLOOKUP(C291,$C$369:$E$427,3,TRUE)+((IF(C297&lt;14,C297,14)-12)*$C$199*C291))*C294</f>
        <v>775.57915883743476</v>
      </c>
      <c r="D320" s="3">
        <f>(VLOOKUP(D291,$C$369:$E$427,3,TRUE)+((IF(D297&lt;14,D297,14)-12)*$C$199*D291))*D294</f>
        <v>741.78425660871198</v>
      </c>
    </row>
    <row r="321" spans="2:10" hidden="1" x14ac:dyDescent="0.2">
      <c r="B321" s="6" t="s">
        <v>81</v>
      </c>
      <c r="C321" s="3"/>
      <c r="D321" s="3" t="s">
        <v>4</v>
      </c>
    </row>
    <row r="322" spans="2:10" hidden="1" x14ac:dyDescent="0.2">
      <c r="B322" s="26" t="s">
        <v>82</v>
      </c>
      <c r="C322" s="5">
        <f>C320*$C$200</f>
        <v>511.88224483270699</v>
      </c>
      <c r="D322" s="5">
        <f>D320*$C$200</f>
        <v>489.57760936174992</v>
      </c>
    </row>
    <row r="323" spans="2:10" hidden="1" x14ac:dyDescent="0.2">
      <c r="B323" s="26" t="s">
        <v>105</v>
      </c>
      <c r="C323" s="5">
        <f>365*1.7</f>
        <v>620.5</v>
      </c>
      <c r="D323" s="5">
        <f>365*1.7</f>
        <v>620.5</v>
      </c>
      <c r="F323" s="26" t="s">
        <v>4</v>
      </c>
    </row>
    <row r="324" spans="2:10" hidden="1" x14ac:dyDescent="0.2">
      <c r="B324" s="26" t="s">
        <v>106</v>
      </c>
      <c r="C324" s="5">
        <f>$C$201*2.2*C294</f>
        <v>93.186888866622397</v>
      </c>
      <c r="D324" s="5">
        <f>$C$201*2.2*D294</f>
        <v>94.976680594426014</v>
      </c>
    </row>
    <row r="325" spans="2:10" hidden="1" x14ac:dyDescent="0.2">
      <c r="B325" s="26" t="s">
        <v>83</v>
      </c>
      <c r="C325" s="5">
        <f>C264*($C177*1.1)*C294</f>
        <v>59.794920356082706</v>
      </c>
      <c r="D325" s="5">
        <f>D264*($C177*1.1)*D294</f>
        <v>60.943370048090024</v>
      </c>
      <c r="F325" s="26" t="s">
        <v>4</v>
      </c>
    </row>
    <row r="326" spans="2:10" ht="13.5" hidden="1" thickBot="1" x14ac:dyDescent="0.25">
      <c r="B326" s="39" t="s">
        <v>84</v>
      </c>
      <c r="C326" s="49">
        <f>SUM(C322:C325)</f>
        <v>1285.364054055412</v>
      </c>
      <c r="D326" s="49">
        <f>SUM(D322:D325)</f>
        <v>1265.9976600042658</v>
      </c>
    </row>
    <row r="327" spans="2:10" hidden="1" x14ac:dyDescent="0.2">
      <c r="B327" s="26" t="s">
        <v>85</v>
      </c>
      <c r="C327" s="15">
        <v>0.02</v>
      </c>
      <c r="D327" s="15">
        <v>0.02</v>
      </c>
      <c r="G327" s="26" t="s">
        <v>195</v>
      </c>
    </row>
    <row r="328" spans="2:10" ht="13.5" hidden="1" thickBot="1" x14ac:dyDescent="0.25">
      <c r="B328" s="39" t="s">
        <v>202</v>
      </c>
      <c r="C328" s="49">
        <f>C326*(1+C327)</f>
        <v>1311.0713351365202</v>
      </c>
      <c r="D328" s="49">
        <f>D326*(1+D327)</f>
        <v>1291.3176132043511</v>
      </c>
      <c r="G328" s="51" t="s">
        <v>124</v>
      </c>
    </row>
    <row r="329" spans="2:10" hidden="1" x14ac:dyDescent="0.2"/>
    <row r="330" spans="2:10" hidden="1" x14ac:dyDescent="0.2">
      <c r="B330" s="26" t="s">
        <v>107</v>
      </c>
      <c r="C330" s="15">
        <v>0.12</v>
      </c>
      <c r="D330" s="15">
        <v>0.12</v>
      </c>
      <c r="G330" s="26" t="s">
        <v>194</v>
      </c>
    </row>
    <row r="331" spans="2:10" hidden="1" x14ac:dyDescent="0.2">
      <c r="B331" s="51" t="s">
        <v>94</v>
      </c>
      <c r="C331" s="47">
        <f>C322*(1-C330)+C291*2*C294</f>
        <v>590.27274596417362</v>
      </c>
      <c r="D331" s="47">
        <f>D322*(1-D330)+D291*2*D294</f>
        <v>559.30931914030839</v>
      </c>
      <c r="E331" s="26" t="s">
        <v>4</v>
      </c>
      <c r="G331" s="51" t="s">
        <v>195</v>
      </c>
    </row>
    <row r="332" spans="2:10" hidden="1" x14ac:dyDescent="0.2">
      <c r="B332" s="36" t="s">
        <v>95</v>
      </c>
      <c r="C332" s="47">
        <f>C328-C331</f>
        <v>720.79858917234662</v>
      </c>
      <c r="D332" s="47">
        <f>D328-D331</f>
        <v>732.00829406404273</v>
      </c>
    </row>
    <row r="333" spans="2:10" ht="38.25" hidden="1" x14ac:dyDescent="0.2">
      <c r="G333" s="5">
        <f>VLOOKUP(G331,$B$345:$D$346,3,FALSE)</f>
        <v>154.75165690512398</v>
      </c>
      <c r="H333" s="31" t="s">
        <v>195</v>
      </c>
      <c r="I333" s="18" t="s">
        <v>124</v>
      </c>
      <c r="J333" s="31" t="s">
        <v>196</v>
      </c>
    </row>
    <row r="334" spans="2:10" hidden="1" x14ac:dyDescent="0.2">
      <c r="B334" s="34" t="s">
        <v>63</v>
      </c>
      <c r="C334" s="3">
        <f>SUMPRODUCT(C191:C194,C287:C290)/SUM(C287:C290)</f>
        <v>25.244704074373747</v>
      </c>
      <c r="D334" s="3">
        <f>SUMPRODUCT(D191:D194,D287:D290)/SUM(D287:D290)</f>
        <v>25.783082832731573</v>
      </c>
      <c r="E334" s="13"/>
      <c r="G334" s="51">
        <v>12</v>
      </c>
      <c r="H334" s="5">
        <f t="dataTable" ref="H334:I340" dt2D="1" dtr="1" r1="G331" r2="D266"/>
        <v>94.917118815008365</v>
      </c>
      <c r="I334" s="5">
        <v>337.83300488499719</v>
      </c>
      <c r="J334" s="5">
        <f t="shared" ref="J334:J340" si="14">SUM(H334:I334)</f>
        <v>432.75012370000559</v>
      </c>
    </row>
    <row r="335" spans="2:10" hidden="1" x14ac:dyDescent="0.2">
      <c r="B335" s="34" t="s">
        <v>86</v>
      </c>
      <c r="C335" s="3">
        <f>C334*$C$202*(C297/C296)*C295</f>
        <v>260.54563935944844</v>
      </c>
      <c r="D335" s="3">
        <f>D334*$C$202*(D297/D296)*D295</f>
        <v>273.70348035613392</v>
      </c>
      <c r="E335" s="13"/>
      <c r="G335" s="51">
        <v>13</v>
      </c>
      <c r="H335" s="5">
        <v>102.82687871625907</v>
      </c>
      <c r="I335" s="5">
        <v>365.98575529208028</v>
      </c>
      <c r="J335" s="5">
        <f t="shared" si="14"/>
        <v>468.81263400833939</v>
      </c>
    </row>
    <row r="336" spans="2:10" hidden="1" x14ac:dyDescent="0.2">
      <c r="B336" s="38" t="s">
        <v>96</v>
      </c>
      <c r="C336" s="3">
        <f>((C320-C335)/(C297/C296)*0.413/C295/$C$205)+$C$177</f>
        <v>6.8334707609625678</v>
      </c>
      <c r="D336" s="3">
        <f>((D320-D335)/(D297/D296)*0.413/D295/$C$205)+$C$177</f>
        <v>6.2009888101421602</v>
      </c>
      <c r="G336" s="51">
        <v>14</v>
      </c>
      <c r="H336" s="5">
        <v>118.94004230151342</v>
      </c>
      <c r="I336" s="5">
        <v>389.46986057559695</v>
      </c>
      <c r="J336" s="5">
        <f t="shared" si="14"/>
        <v>508.40990287711037</v>
      </c>
    </row>
    <row r="337" spans="2:10" hidden="1" x14ac:dyDescent="0.2">
      <c r="B337" s="34" t="s">
        <v>141</v>
      </c>
      <c r="C337" s="2">
        <f>SUM(C349:C350)</f>
        <v>0</v>
      </c>
      <c r="D337" s="2">
        <f>SUM(D349:D350)</f>
        <v>1.0370863042778145</v>
      </c>
      <c r="G337" s="51">
        <v>15</v>
      </c>
      <c r="H337" s="5">
        <v>142.91393748229527</v>
      </c>
      <c r="I337" s="5">
        <v>692.8833823158235</v>
      </c>
      <c r="J337" s="5">
        <f t="shared" si="14"/>
        <v>835.79731979811879</v>
      </c>
    </row>
    <row r="338" spans="2:10" hidden="1" x14ac:dyDescent="0.2">
      <c r="G338" s="51">
        <v>16</v>
      </c>
      <c r="H338" s="5">
        <v>166.50232656354143</v>
      </c>
      <c r="I338" s="5">
        <v>757.13130204369986</v>
      </c>
      <c r="J338" s="5">
        <f t="shared" si="14"/>
        <v>923.63362860724123</v>
      </c>
    </row>
    <row r="339" spans="2:10" hidden="1" x14ac:dyDescent="0.2">
      <c r="G339" s="51">
        <v>17</v>
      </c>
      <c r="H339" s="5">
        <v>189.77324003340533</v>
      </c>
      <c r="I339" s="5">
        <v>818.73853764086152</v>
      </c>
      <c r="J339" s="5">
        <f t="shared" si="14"/>
        <v>1008.5117776742668</v>
      </c>
    </row>
    <row r="340" spans="2:10" hidden="1" x14ac:dyDescent="0.2">
      <c r="B340" s="26" t="s">
        <v>140</v>
      </c>
      <c r="G340" s="51">
        <v>18</v>
      </c>
      <c r="H340" s="5">
        <v>212.77959049378393</v>
      </c>
      <c r="I340" s="5">
        <v>877.959299024095</v>
      </c>
      <c r="J340" s="5">
        <f t="shared" si="14"/>
        <v>1090.738889517879</v>
      </c>
    </row>
    <row r="341" spans="2:10" hidden="1" x14ac:dyDescent="0.2">
      <c r="B341" s="26" t="s">
        <v>114</v>
      </c>
      <c r="C341" s="3">
        <f>IF(C262="Ja",(1+((C280-$C$178)/2))*C273*(1+$C$220)*IF(C266&lt;13.5,C266*$E$225*($D$225-$C$225)*C294,13.5*$E$225*$D$225*C294+(C266-13.5)*$F$225*($D$225-$C$225))/1000,0)</f>
        <v>0</v>
      </c>
      <c r="D341" s="3">
        <f>IF(D262="Ja",(1+((D280-$C$178)/2))*D273*(1+$C$220)*IF(D266&lt;13.5,D266*$E$225*($D$225-$C$225)*D294,13.5*$E$225*$D$225*D294+(D266-13.5)*$F$225*($D$225-$C$225))/1000,0)</f>
        <v>5.7229553646602689</v>
      </c>
      <c r="E341" s="3"/>
    </row>
    <row r="342" spans="2:10" hidden="1" x14ac:dyDescent="0.2">
      <c r="B342" s="26" t="s">
        <v>111</v>
      </c>
      <c r="C342" s="3">
        <f>IF(C262="Ja",(1+((C280-$C$178)/2))*C273*(1+$C$220)*IF(C297&lt;13.5,C297*$E$226*($D$226-$C$226)*C294,13.5*$E$226*$D$226*C294+(C297-13.5)*$F$226*($D$226-$C$226))/1000,0)</f>
        <v>0</v>
      </c>
      <c r="D342" s="3">
        <f>IF(D262="Ja",(1+((D280-$C$178)/2))*D273*(1+$C$220)*IF(D297&lt;13.5,D297*$E$226*($D$226-$C$226)*D294,13.5*$E$226*$D$226*D294+(D297-13.5)*$F$226*($D$226-$C$226))/1000,0)</f>
        <v>26.82476384545447</v>
      </c>
    </row>
    <row r="343" spans="2:10" hidden="1" x14ac:dyDescent="0.2">
      <c r="B343" s="26"/>
      <c r="C343" s="3"/>
      <c r="D343" s="3"/>
    </row>
    <row r="344" spans="2:10" hidden="1" x14ac:dyDescent="0.2">
      <c r="B344" s="26" t="s">
        <v>136</v>
      </c>
    </row>
    <row r="345" spans="2:10" hidden="1" x14ac:dyDescent="0.2">
      <c r="B345" s="26" t="s">
        <v>195</v>
      </c>
      <c r="C345" s="5">
        <f>(1000*C341/C295)/(1+$C$220)</f>
        <v>0</v>
      </c>
      <c r="D345" s="5">
        <f>(1000*D341/D295)/(1+$C$220)</f>
        <v>154.75165690512398</v>
      </c>
    </row>
    <row r="346" spans="2:10" hidden="1" x14ac:dyDescent="0.2">
      <c r="B346" s="26" t="s">
        <v>124</v>
      </c>
      <c r="C346" s="5">
        <f>(1000*C342/C295)/(1+$C$220)</f>
        <v>0</v>
      </c>
      <c r="D346" s="5">
        <f>(1000*D342/D295)/(1+$C$220)</f>
        <v>725.3554128355795</v>
      </c>
    </row>
    <row r="347" spans="2:10" hidden="1" x14ac:dyDescent="0.2">
      <c r="B347" s="26" t="s">
        <v>115</v>
      </c>
      <c r="C347" s="5">
        <f>1000*SUM(C341:C342)/C295</f>
        <v>0</v>
      </c>
      <c r="D347" s="5">
        <f>1000*SUM(D341:D342)/D295</f>
        <v>924.11242322773876</v>
      </c>
    </row>
    <row r="348" spans="2:10" hidden="1" x14ac:dyDescent="0.2">
      <c r="B348" s="26" t="s">
        <v>137</v>
      </c>
    </row>
    <row r="349" spans="2:10" hidden="1" x14ac:dyDescent="0.2">
      <c r="B349" s="26" t="s">
        <v>138</v>
      </c>
      <c r="C349" s="2">
        <f>((C345/1000)*$C$218/$C$206)/(1+((C280-$C$178)/2))</f>
        <v>0</v>
      </c>
      <c r="D349" s="2">
        <f>((D345/1000)*$C$218/$C$206)/(1+((D280-$C$178)/2))</f>
        <v>0.21291435693999669</v>
      </c>
    </row>
    <row r="350" spans="2:10" hidden="1" x14ac:dyDescent="0.2">
      <c r="B350" s="26" t="s">
        <v>139</v>
      </c>
      <c r="C350" s="2">
        <f>((C346/1000)*$C$219/$C$206)/(1+((C280-$C$178)/2))</f>
        <v>0</v>
      </c>
      <c r="D350" s="2">
        <f>((D346/1000)*$C$219/$C$206)/(1+((D280-$C$178)/2))</f>
        <v>0.82417194733781785</v>
      </c>
    </row>
    <row r="351" spans="2:10" hidden="1" x14ac:dyDescent="0.2"/>
    <row r="352" spans="2:10" hidden="1" x14ac:dyDescent="0.2"/>
    <row r="353" spans="2:9" hidden="1" x14ac:dyDescent="0.2"/>
    <row r="354" spans="2:9" hidden="1" x14ac:dyDescent="0.2"/>
    <row r="355" spans="2:9" hidden="1" x14ac:dyDescent="0.2"/>
    <row r="356" spans="2:9" ht="18" hidden="1" x14ac:dyDescent="0.25">
      <c r="B356" s="50" t="s">
        <v>109</v>
      </c>
    </row>
    <row r="357" spans="2:9" ht="25.5" hidden="1" x14ac:dyDescent="0.2">
      <c r="B357" s="31" t="s">
        <v>108</v>
      </c>
      <c r="C357" s="51" t="s">
        <v>5</v>
      </c>
      <c r="D357" s="51">
        <f>'Kalkuler Mælkekopper'!C197</f>
        <v>26</v>
      </c>
    </row>
    <row r="358" spans="2:9" hidden="1" x14ac:dyDescent="0.2">
      <c r="B358" s="26" t="s">
        <v>110</v>
      </c>
    </row>
    <row r="359" spans="2:9" hidden="1" x14ac:dyDescent="0.2">
      <c r="C359" s="26" t="s">
        <v>8</v>
      </c>
      <c r="D359" s="26" t="s">
        <v>9</v>
      </c>
      <c r="E359" s="31" t="s">
        <v>10</v>
      </c>
      <c r="F359" s="26" t="s">
        <v>11</v>
      </c>
      <c r="G359" s="26"/>
    </row>
    <row r="360" spans="2:9" hidden="1" x14ac:dyDescent="0.2">
      <c r="B360" s="26" t="s">
        <v>29</v>
      </c>
      <c r="C360" s="51">
        <v>1</v>
      </c>
      <c r="D360" s="51">
        <v>26</v>
      </c>
      <c r="E360" s="35">
        <f>SUMIFS($D$369:$D$427,$C$369:$C$427,"&gt;="&amp;C360,$C$369:$C$427,"&lt;="&amp;D360)</f>
        <v>282.49810522247986</v>
      </c>
      <c r="F360" s="2">
        <f>E360/(D360-C360+1)</f>
        <v>10.865311739326149</v>
      </c>
      <c r="G360" s="26"/>
    </row>
    <row r="361" spans="2:9" hidden="1" x14ac:dyDescent="0.2">
      <c r="B361" s="26" t="s">
        <v>32</v>
      </c>
      <c r="C361" s="51">
        <v>22</v>
      </c>
      <c r="D361" s="51">
        <v>47</v>
      </c>
      <c r="E361" s="35">
        <f>SUMIFS($D$369:$D$427,$C$369:$C$427,"&gt;="&amp;C361,$C$369:$C$427,"&lt;="&amp;D361)</f>
        <v>269.15388711799363</v>
      </c>
      <c r="F361" s="2">
        <f>E361/(D361-C361+1)</f>
        <v>10.352072581461293</v>
      </c>
      <c r="G361" s="26"/>
    </row>
    <row r="362" spans="2:9" hidden="1" x14ac:dyDescent="0.2">
      <c r="B362" s="26" t="s">
        <v>28</v>
      </c>
      <c r="C362" s="26">
        <v>1</v>
      </c>
      <c r="D362" s="51">
        <v>47</v>
      </c>
      <c r="E362" s="35">
        <f>SUMIFS($D$369:$D$427,$C$369:$C$427,"&gt;="&amp;C362,$C$369:$C$427,"&lt;="&amp;D362)</f>
        <v>490.30379719083237</v>
      </c>
      <c r="F362" s="2">
        <f>E362/(D362-C362+1)</f>
        <v>10.431995684911326</v>
      </c>
      <c r="G362" s="2"/>
    </row>
    <row r="363" spans="2:9" hidden="1" x14ac:dyDescent="0.2">
      <c r="B363" s="26" t="s">
        <v>31</v>
      </c>
      <c r="C363" s="26">
        <v>22</v>
      </c>
      <c r="D363" s="51">
        <f>C363+'Kalkuler Mælkekopper'!C188</f>
        <v>31.5</v>
      </c>
      <c r="E363" s="35">
        <f>SUMIFS($D$369:$D$427,$C$369:$C$427,"&gt;="&amp;C363,$C$369:$C$427,"&lt;="&amp;D363)</f>
        <v>118.81221038981055</v>
      </c>
      <c r="F363" s="2">
        <f>E363/(D363-C363+1)</f>
        <v>11.315448608553385</v>
      </c>
    </row>
    <row r="364" spans="2:9" hidden="1" x14ac:dyDescent="0.2">
      <c r="B364" s="26" t="s">
        <v>30</v>
      </c>
      <c r="C364" s="26">
        <v>27</v>
      </c>
      <c r="D364" s="51">
        <v>33</v>
      </c>
      <c r="E364" s="35">
        <f>SUMIFS($D$369:$D$427,$C$369:$C$427,"&gt;="&amp;C364,$C$369:$C$427,"&lt;="&amp;D364)</f>
        <v>79.109117308285846</v>
      </c>
      <c r="F364" s="2">
        <f>E364/(D364-C364+1)</f>
        <v>11.301302472612264</v>
      </c>
    </row>
    <row r="365" spans="2:9" hidden="1" x14ac:dyDescent="0.2">
      <c r="B365" s="26"/>
      <c r="C365" s="2"/>
      <c r="F365" s="3"/>
      <c r="G365" s="11"/>
      <c r="I365" s="26"/>
    </row>
    <row r="366" spans="2:9" hidden="1" x14ac:dyDescent="0.2">
      <c r="B366" s="26"/>
      <c r="C366" s="2"/>
      <c r="F366" s="3"/>
      <c r="G366" s="11"/>
      <c r="I366" s="26"/>
    </row>
    <row r="367" spans="2:9" hidden="1" x14ac:dyDescent="0.2">
      <c r="B367" s="26"/>
      <c r="C367" s="2"/>
      <c r="F367" s="3"/>
      <c r="G367" s="11"/>
      <c r="I367" s="26"/>
    </row>
    <row r="368" spans="2:9" ht="25.5" hidden="1" x14ac:dyDescent="0.2">
      <c r="C368" s="31" t="s">
        <v>7</v>
      </c>
      <c r="D368" s="31" t="s">
        <v>19</v>
      </c>
      <c r="E368" s="31" t="s">
        <v>215</v>
      </c>
      <c r="F368" s="31" t="s">
        <v>18</v>
      </c>
      <c r="G368" s="31"/>
    </row>
    <row r="369" spans="3:8" hidden="1" x14ac:dyDescent="0.2">
      <c r="C369" s="51">
        <v>1</v>
      </c>
      <c r="D369" s="2">
        <f>D$357*EXP(-0.025*C369)*EXP(-EXP(0.5-0.1*C369))</f>
        <v>5.7045941439995795</v>
      </c>
      <c r="E369" s="2">
        <f>SUM(D$369:D369)</f>
        <v>5.7045941439995795</v>
      </c>
      <c r="F369" s="2">
        <f t="shared" ref="F369:F427" si="15">E369/C369</f>
        <v>5.7045941439995795</v>
      </c>
      <c r="G369" s="2"/>
    </row>
    <row r="370" spans="3:8" hidden="1" x14ac:dyDescent="0.2">
      <c r="C370" s="51">
        <f t="shared" ref="C370:C427" si="16">C369+1</f>
        <v>2</v>
      </c>
      <c r="D370" s="2">
        <f t="shared" ref="D370:D427" si="17">D$357*EXP(-0.025*C370)*EXP(-EXP(0.5-0.1*C370))</f>
        <v>6.4124263845928953</v>
      </c>
      <c r="E370" s="2">
        <f>SUM(D$369:D370)</f>
        <v>12.117020528592475</v>
      </c>
      <c r="F370" s="2">
        <f t="shared" si="15"/>
        <v>6.0585102642962374</v>
      </c>
      <c r="G370" s="2"/>
    </row>
    <row r="371" spans="3:8" hidden="1" x14ac:dyDescent="0.2">
      <c r="C371" s="51">
        <f t="shared" si="16"/>
        <v>3</v>
      </c>
      <c r="D371" s="2">
        <f t="shared" si="17"/>
        <v>7.1113619517154758</v>
      </c>
      <c r="E371" s="2">
        <f>SUM(D$369:D371)</f>
        <v>19.22838248030795</v>
      </c>
      <c r="F371" s="2">
        <f t="shared" si="15"/>
        <v>6.4094608267693163</v>
      </c>
      <c r="G371" s="2"/>
    </row>
    <row r="372" spans="3:8" hidden="1" x14ac:dyDescent="0.2">
      <c r="C372" s="51">
        <f t="shared" si="16"/>
        <v>4</v>
      </c>
      <c r="D372" s="2">
        <f t="shared" si="17"/>
        <v>7.7906603088756698</v>
      </c>
      <c r="E372" s="2">
        <f>SUM(D$369:D372)</f>
        <v>27.019042789183619</v>
      </c>
      <c r="F372" s="2">
        <f t="shared" si="15"/>
        <v>6.7547606972959047</v>
      </c>
      <c r="G372" s="30"/>
      <c r="H372" s="26"/>
    </row>
    <row r="373" spans="3:8" hidden="1" x14ac:dyDescent="0.2">
      <c r="C373" s="51">
        <f t="shared" si="16"/>
        <v>5</v>
      </c>
      <c r="D373" s="2">
        <f t="shared" si="17"/>
        <v>8.440964151317095</v>
      </c>
      <c r="E373" s="2">
        <f>SUM(D$369:D373)</f>
        <v>35.460006940500712</v>
      </c>
      <c r="F373" s="2">
        <f t="shared" si="15"/>
        <v>7.092001388100142</v>
      </c>
      <c r="G373" s="2"/>
    </row>
    <row r="374" spans="3:8" hidden="1" x14ac:dyDescent="0.2">
      <c r="C374" s="51">
        <f t="shared" si="16"/>
        <v>6</v>
      </c>
      <c r="D374" s="2">
        <f t="shared" si="17"/>
        <v>9.0544750846422435</v>
      </c>
      <c r="E374" s="2">
        <f>SUM(D$369:D374)</f>
        <v>44.514482025142954</v>
      </c>
      <c r="F374" s="2">
        <f t="shared" si="15"/>
        <v>7.4190803375238259</v>
      </c>
      <c r="G374" s="2"/>
    </row>
    <row r="375" spans="3:8" hidden="1" x14ac:dyDescent="0.2">
      <c r="C375" s="51">
        <f t="shared" si="16"/>
        <v>7</v>
      </c>
      <c r="D375" s="2">
        <f t="shared" si="17"/>
        <v>9.6250183334253645</v>
      </c>
      <c r="E375" s="2">
        <f>SUM(D$369:D375)</f>
        <v>54.13950035856832</v>
      </c>
      <c r="F375" s="2">
        <f t="shared" si="15"/>
        <v>7.7342143369383312</v>
      </c>
      <c r="G375" s="2"/>
    </row>
    <row r="376" spans="3:8" hidden="1" x14ac:dyDescent="0.2">
      <c r="C376" s="51">
        <f t="shared" si="16"/>
        <v>8</v>
      </c>
      <c r="D376" s="2">
        <f t="shared" si="17"/>
        <v>10.148017004030736</v>
      </c>
      <c r="E376" s="2">
        <f>SUM(D$369:D376)</f>
        <v>64.287517362599061</v>
      </c>
      <c r="F376" s="2">
        <f t="shared" si="15"/>
        <v>8.0359396703248827</v>
      </c>
      <c r="G376" s="2"/>
    </row>
    <row r="377" spans="3:8" hidden="1" x14ac:dyDescent="0.2">
      <c r="C377" s="51">
        <f t="shared" si="16"/>
        <v>9</v>
      </c>
      <c r="D377" s="2">
        <f t="shared" si="17"/>
        <v>10.620398004404965</v>
      </c>
      <c r="E377" s="2">
        <f>SUM(D$369:D377)</f>
        <v>74.907915367004023</v>
      </c>
      <c r="F377" s="2">
        <f t="shared" si="15"/>
        <v>8.3231017074448914</v>
      </c>
      <c r="G377" s="2"/>
    </row>
    <row r="378" spans="3:8" hidden="1" x14ac:dyDescent="0.2">
      <c r="C378" s="51">
        <f t="shared" si="16"/>
        <v>10</v>
      </c>
      <c r="D378" s="2">
        <f t="shared" si="17"/>
        <v>11.040450854763108</v>
      </c>
      <c r="E378" s="2">
        <f>SUM(D$369:D378)</f>
        <v>85.948366221767131</v>
      </c>
      <c r="F378" s="2">
        <f t="shared" si="15"/>
        <v>8.5948366221767127</v>
      </c>
      <c r="G378" s="2"/>
    </row>
    <row r="379" spans="3:8" hidden="1" x14ac:dyDescent="0.2">
      <c r="C379" s="51">
        <f t="shared" si="16"/>
        <v>11</v>
      </c>
      <c r="D379" s="2">
        <f t="shared" si="17"/>
        <v>11.407658201539387</v>
      </c>
      <c r="E379" s="2">
        <f>SUM(D$369:D379)</f>
        <v>97.356024423306522</v>
      </c>
      <c r="F379" s="2">
        <f t="shared" si="15"/>
        <v>8.8505476748460481</v>
      </c>
      <c r="G379" s="2"/>
    </row>
    <row r="380" spans="3:8" hidden="1" x14ac:dyDescent="0.2">
      <c r="C380" s="51">
        <f t="shared" si="16"/>
        <v>12</v>
      </c>
      <c r="D380" s="2">
        <f t="shared" si="17"/>
        <v>11.722513624465586</v>
      </c>
      <c r="E380" s="2">
        <f>SUM(D$369:D380)</f>
        <v>109.07853804777211</v>
      </c>
      <c r="F380" s="2">
        <f t="shared" si="15"/>
        <v>9.0898781706476761</v>
      </c>
      <c r="G380" s="2"/>
    </row>
    <row r="381" spans="3:8" hidden="1" x14ac:dyDescent="0.2">
      <c r="C381" s="51">
        <f t="shared" si="16"/>
        <v>13</v>
      </c>
      <c r="D381" s="2">
        <f t="shared" si="17"/>
        <v>11.986338871403291</v>
      </c>
      <c r="E381" s="2">
        <f>SUM(D$369:D381)</f>
        <v>121.0648769191754</v>
      </c>
      <c r="F381" s="2">
        <f t="shared" si="15"/>
        <v>9.3126828399365689</v>
      </c>
      <c r="G381" s="2"/>
    </row>
    <row r="382" spans="3:8" hidden="1" x14ac:dyDescent="0.2">
      <c r="C382" s="51">
        <f t="shared" si="16"/>
        <v>14</v>
      </c>
      <c r="D382" s="2">
        <f t="shared" si="17"/>
        <v>12.201109354242508</v>
      </c>
      <c r="E382" s="2">
        <f>SUM(D$369:D382)</f>
        <v>133.26598627341792</v>
      </c>
      <c r="F382" s="2">
        <f t="shared" si="15"/>
        <v>9.5189990195298524</v>
      </c>
      <c r="G382" s="2"/>
    </row>
    <row r="383" spans="3:8" hidden="1" x14ac:dyDescent="0.2">
      <c r="C383" s="51">
        <f t="shared" si="16"/>
        <v>15</v>
      </c>
      <c r="D383" s="2">
        <f t="shared" si="17"/>
        <v>12.369293822370482</v>
      </c>
      <c r="E383" s="2">
        <f>SUM(D$369:D383)</f>
        <v>145.6352800957884</v>
      </c>
      <c r="F383" s="2">
        <f t="shared" si="15"/>
        <v>9.7090186730525598</v>
      </c>
      <c r="G383" s="2"/>
    </row>
    <row r="384" spans="3:8" hidden="1" x14ac:dyDescent="0.2">
      <c r="C384" s="51">
        <f t="shared" si="16"/>
        <v>16</v>
      </c>
      <c r="D384" s="2">
        <f t="shared" si="17"/>
        <v>12.493711707424945</v>
      </c>
      <c r="E384" s="2">
        <f>SUM(D$369:D384)</f>
        <v>158.12899180321335</v>
      </c>
      <c r="F384" s="2">
        <f t="shared" si="15"/>
        <v>9.8830619877008345</v>
      </c>
      <c r="G384" s="2"/>
    </row>
    <row r="385" spans="3:9" hidden="1" x14ac:dyDescent="0.2">
      <c r="C385" s="51">
        <f t="shared" si="16"/>
        <v>17</v>
      </c>
      <c r="D385" s="2">
        <f t="shared" si="17"/>
        <v>12.577409728159507</v>
      </c>
      <c r="E385" s="2">
        <f>SUM(D$369:D385)</f>
        <v>170.70640153137285</v>
      </c>
      <c r="F385" s="2">
        <f t="shared" si="15"/>
        <v>10.041553031257227</v>
      </c>
      <c r="G385" s="2"/>
    </row>
    <row r="386" spans="3:9" hidden="1" x14ac:dyDescent="0.2">
      <c r="C386" s="51">
        <f t="shared" si="16"/>
        <v>18</v>
      </c>
      <c r="D386" s="2">
        <f t="shared" si="17"/>
        <v>12.623557926419556</v>
      </c>
      <c r="E386" s="2">
        <f>SUM(D$369:D386)</f>
        <v>183.3299594577924</v>
      </c>
      <c r="F386" s="2">
        <f t="shared" si="15"/>
        <v>10.184997747655133</v>
      </c>
      <c r="G386" s="2"/>
    </row>
    <row r="387" spans="3:9" hidden="1" x14ac:dyDescent="0.2">
      <c r="C387" s="51">
        <f t="shared" si="16"/>
        <v>19</v>
      </c>
      <c r="D387" s="2">
        <f t="shared" si="17"/>
        <v>12.635364313235977</v>
      </c>
      <c r="E387" s="2">
        <f>SUM(D$369:D387)</f>
        <v>195.96532377102838</v>
      </c>
      <c r="F387" s="2">
        <f t="shared" si="15"/>
        <v>10.313964409001494</v>
      </c>
      <c r="G387" s="2"/>
    </row>
    <row r="388" spans="3:9" hidden="1" x14ac:dyDescent="0.2">
      <c r="C388" s="51">
        <f t="shared" si="16"/>
        <v>20</v>
      </c>
      <c r="D388" s="2">
        <f t="shared" si="17"/>
        <v>12.616006663928324</v>
      </c>
      <c r="E388" s="2">
        <f>SUM(D$369:D388)</f>
        <v>208.5813304349567</v>
      </c>
      <c r="F388" s="2">
        <f t="shared" si="15"/>
        <v>10.429066521747835</v>
      </c>
      <c r="G388" s="2"/>
    </row>
    <row r="389" spans="3:9" hidden="1" x14ac:dyDescent="0.2">
      <c r="C389" s="51">
        <f t="shared" si="16"/>
        <v>21</v>
      </c>
      <c r="D389" s="2">
        <f t="shared" si="17"/>
        <v>12.568579637881911</v>
      </c>
      <c r="E389" s="2">
        <f>SUM(D$369:D389)</f>
        <v>221.14991007283862</v>
      </c>
      <c r="F389" s="2">
        <f t="shared" si="15"/>
        <v>10.530948098706601</v>
      </c>
      <c r="G389" s="2"/>
    </row>
    <row r="390" spans="3:9" hidden="1" x14ac:dyDescent="0.2">
      <c r="C390" s="51">
        <f t="shared" si="16"/>
        <v>22</v>
      </c>
      <c r="D390" s="2">
        <f t="shared" si="17"/>
        <v>12.496055243331341</v>
      </c>
      <c r="E390" s="2">
        <f>SUM(D$369:D390)</f>
        <v>233.64596531616996</v>
      </c>
      <c r="F390" s="2">
        <f t="shared" si="15"/>
        <v>10.620271150734998</v>
      </c>
      <c r="G390" s="2"/>
    </row>
    <row r="391" spans="3:9" hidden="1" x14ac:dyDescent="0.2">
      <c r="C391" s="51">
        <f t="shared" si="16"/>
        <v>23</v>
      </c>
      <c r="D391" s="2">
        <f t="shared" si="17"/>
        <v>12.40125466061286</v>
      </c>
      <c r="E391" s="2">
        <f>SUM(D$369:D391)</f>
        <v>246.04721997678283</v>
      </c>
      <c r="F391" s="2">
        <f t="shared" si="15"/>
        <v>10.697705216381863</v>
      </c>
      <c r="G391" s="2"/>
    </row>
    <row r="392" spans="3:9" hidden="1" x14ac:dyDescent="0.2">
      <c r="C392" s="51">
        <f t="shared" si="16"/>
        <v>24</v>
      </c>
      <c r="D392" s="2">
        <f t="shared" si="17"/>
        <v>12.286829530280661</v>
      </c>
      <c r="E392" s="2">
        <f>SUM(D$369:D392)</f>
        <v>258.33404950706347</v>
      </c>
      <c r="F392" s="2">
        <f t="shared" si="15"/>
        <v>10.763918729460977</v>
      </c>
      <c r="G392" s="2"/>
    </row>
    <row r="393" spans="3:9" hidden="1" x14ac:dyDescent="0.2">
      <c r="C393" s="51">
        <f t="shared" si="16"/>
        <v>25</v>
      </c>
      <c r="D393" s="2">
        <f t="shared" si="17"/>
        <v>12.155250967079846</v>
      </c>
      <c r="E393" s="2">
        <f>SUM(D$369:D393)</f>
        <v>270.48930047414331</v>
      </c>
      <c r="F393" s="2">
        <f t="shared" si="15"/>
        <v>10.819572018965733</v>
      </c>
      <c r="G393" s="2"/>
    </row>
    <row r="394" spans="3:9" hidden="1" x14ac:dyDescent="0.2">
      <c r="C394" s="51">
        <f t="shared" si="16"/>
        <v>26</v>
      </c>
      <c r="D394" s="2">
        <f t="shared" si="17"/>
        <v>12.00880474833655</v>
      </c>
      <c r="E394" s="2">
        <f>SUM(D$369:D394)</f>
        <v>282.49810522247986</v>
      </c>
      <c r="F394" s="2">
        <f t="shared" si="15"/>
        <v>10.865311739326149</v>
      </c>
      <c r="G394" s="2"/>
      <c r="H394" s="26"/>
      <c r="I394" s="3"/>
    </row>
    <row r="395" spans="3:9" hidden="1" x14ac:dyDescent="0.2">
      <c r="C395" s="51">
        <f t="shared" si="16"/>
        <v>27</v>
      </c>
      <c r="D395" s="2">
        <f t="shared" si="17"/>
        <v>11.849591325171609</v>
      </c>
      <c r="E395" s="2">
        <f>SUM(D$369:D395)</f>
        <v>294.34769654765148</v>
      </c>
      <c r="F395" s="2">
        <f t="shared" si="15"/>
        <v>10.901766538801906</v>
      </c>
      <c r="G395" s="2"/>
      <c r="H395" s="26"/>
    </row>
    <row r="396" spans="3:9" hidden="1" x14ac:dyDescent="0.2">
      <c r="C396" s="51">
        <f t="shared" si="16"/>
        <v>28</v>
      </c>
      <c r="D396" s="2">
        <f t="shared" si="17"/>
        <v>11.679529502852223</v>
      </c>
      <c r="E396" s="2">
        <f>SUM(D$369:D396)</f>
        <v>306.02722605050371</v>
      </c>
      <c r="F396" s="2">
        <f t="shared" si="15"/>
        <v>10.929543787517989</v>
      </c>
      <c r="G396" s="2"/>
    </row>
    <row r="397" spans="3:9" hidden="1" x14ac:dyDescent="0.2">
      <c r="C397" s="51">
        <f t="shared" si="16"/>
        <v>29</v>
      </c>
      <c r="D397" s="2">
        <f t="shared" si="17"/>
        <v>11.500362823396342</v>
      </c>
      <c r="E397" s="2">
        <f>SUM(D$369:D397)</f>
        <v>317.52758887390007</v>
      </c>
      <c r="F397" s="2">
        <f t="shared" si="15"/>
        <v>10.949227202548279</v>
      </c>
      <c r="G397" s="2"/>
    </row>
    <row r="398" spans="3:9" hidden="1" x14ac:dyDescent="0.2">
      <c r="C398" s="51">
        <f t="shared" si="16"/>
        <v>30</v>
      </c>
      <c r="D398" s="2">
        <f t="shared" si="17"/>
        <v>11.313667853855987</v>
      </c>
      <c r="E398" s="2">
        <f>SUM(D$369:D398)</f>
        <v>328.84125672775605</v>
      </c>
      <c r="F398" s="2">
        <f t="shared" si="15"/>
        <v>10.961375224258536</v>
      </c>
      <c r="G398" s="2"/>
    </row>
    <row r="399" spans="3:9" hidden="1" x14ac:dyDescent="0.2">
      <c r="C399" s="51">
        <f t="shared" si="16"/>
        <v>31</v>
      </c>
      <c r="D399" s="2">
        <f t="shared" si="17"/>
        <v>11.120863734893131</v>
      </c>
      <c r="E399" s="2">
        <f>SUM(D$369:D399)</f>
        <v>339.96212046264918</v>
      </c>
      <c r="F399" s="2">
        <f t="shared" si="15"/>
        <v>10.966520014924168</v>
      </c>
    </row>
    <row r="400" spans="3:9" hidden="1" x14ac:dyDescent="0.2">
      <c r="C400" s="51">
        <f t="shared" si="16"/>
        <v>32</v>
      </c>
      <c r="D400" s="2">
        <f t="shared" si="17"/>
        <v>10.923222475597841</v>
      </c>
      <c r="E400" s="2">
        <f>SUM(D$369:D400)</f>
        <v>350.88534293824705</v>
      </c>
      <c r="F400" s="2">
        <f t="shared" si="15"/>
        <v>10.96516696682022</v>
      </c>
    </row>
    <row r="401" spans="3:8" hidden="1" x14ac:dyDescent="0.2">
      <c r="C401" s="51">
        <f t="shared" si="16"/>
        <v>33</v>
      </c>
      <c r="D401" s="2">
        <f t="shared" si="17"/>
        <v>10.721879592518713</v>
      </c>
      <c r="E401" s="2">
        <f>SUM(D$369:D401)</f>
        <v>361.60722253076574</v>
      </c>
      <c r="F401" s="2">
        <f t="shared" si="15"/>
        <v>10.957794622144416</v>
      </c>
    </row>
    <row r="402" spans="3:8" hidden="1" x14ac:dyDescent="0.2">
      <c r="C402" s="51">
        <f t="shared" si="16"/>
        <v>34</v>
      </c>
      <c r="D402" s="2">
        <f t="shared" si="17"/>
        <v>10.517844784893821</v>
      </c>
      <c r="E402" s="2">
        <f>SUM(D$369:D402)</f>
        <v>372.12506731565958</v>
      </c>
      <c r="F402" s="2">
        <f t="shared" si="15"/>
        <v>10.944854921048812</v>
      </c>
    </row>
    <row r="403" spans="3:8" hidden="1" x14ac:dyDescent="0.2">
      <c r="C403" s="51">
        <f t="shared" si="16"/>
        <v>35</v>
      </c>
      <c r="D403" s="2">
        <f t="shared" si="17"/>
        <v>10.312012415828013</v>
      </c>
      <c r="E403" s="2">
        <f>SUM(D$369:D403)</f>
        <v>382.43707973148759</v>
      </c>
      <c r="F403" s="2">
        <f t="shared" si="15"/>
        <v>10.926773706613931</v>
      </c>
    </row>
    <row r="404" spans="3:8" hidden="1" x14ac:dyDescent="0.2">
      <c r="C404" s="51">
        <f t="shared" si="16"/>
        <v>36</v>
      </c>
      <c r="D404" s="2">
        <f t="shared" si="17"/>
        <v>10.10517163258206</v>
      </c>
      <c r="E404" s="2">
        <f>SUM(D$369:D404)</f>
        <v>392.54225136406967</v>
      </c>
      <c r="F404" s="2">
        <f t="shared" si="15"/>
        <v>10.903951426779713</v>
      </c>
    </row>
    <row r="405" spans="3:8" hidden="1" x14ac:dyDescent="0.2">
      <c r="C405" s="51">
        <f t="shared" si="16"/>
        <v>37</v>
      </c>
      <c r="D405" s="2">
        <f t="shared" si="17"/>
        <v>9.8980160101607932</v>
      </c>
      <c r="E405" s="2">
        <f>SUM(D$369:D405)</f>
        <v>402.44026737423047</v>
      </c>
      <c r="F405" s="2">
        <f t="shared" si="15"/>
        <v>10.87676398308731</v>
      </c>
    </row>
    <row r="406" spans="3:8" hidden="1" x14ac:dyDescent="0.2">
      <c r="C406" s="51">
        <f t="shared" si="16"/>
        <v>38</v>
      </c>
      <c r="D406" s="2">
        <f t="shared" si="17"/>
        <v>9.6911526428622565</v>
      </c>
      <c r="E406" s="2">
        <f>SUM(D$369:D406)</f>
        <v>412.13142001709275</v>
      </c>
      <c r="F406" s="2">
        <f t="shared" si="15"/>
        <v>10.845563684660336</v>
      </c>
    </row>
    <row r="407" spans="3:8" hidden="1" x14ac:dyDescent="0.2">
      <c r="C407" s="51">
        <f t="shared" si="16"/>
        <v>39</v>
      </c>
      <c r="D407" s="2">
        <f t="shared" si="17"/>
        <v>9.4851106400798724</v>
      </c>
      <c r="E407" s="2">
        <f>SUM(D$369:D407)</f>
        <v>421.61653065717263</v>
      </c>
      <c r="F407" s="2">
        <f t="shared" si="15"/>
        <v>10.810680273260838</v>
      </c>
    </row>
    <row r="408" spans="3:8" hidden="1" x14ac:dyDescent="0.2">
      <c r="C408" s="51">
        <f t="shared" si="16"/>
        <v>40</v>
      </c>
      <c r="D408" s="2">
        <f t="shared" si="17"/>
        <v>9.2803490069564365</v>
      </c>
      <c r="E408" s="2">
        <f>SUM(D$369:D408)</f>
        <v>430.89687966412907</v>
      </c>
      <c r="F408" s="2">
        <f t="shared" si="15"/>
        <v>10.772421991603228</v>
      </c>
    </row>
    <row r="409" spans="3:8" hidden="1" x14ac:dyDescent="0.2">
      <c r="C409" s="51">
        <f t="shared" si="16"/>
        <v>41</v>
      </c>
      <c r="D409" s="2">
        <f t="shared" si="17"/>
        <v>9.0772639088040066</v>
      </c>
      <c r="E409" s="2">
        <f>SUM(D$369:D409)</f>
        <v>439.97414357293309</v>
      </c>
      <c r="F409" s="2">
        <f t="shared" si="15"/>
        <v>10.731076672510563</v>
      </c>
    </row>
    <row r="410" spans="3:8" hidden="1" x14ac:dyDescent="0.2">
      <c r="C410" s="51">
        <f t="shared" si="16"/>
        <v>42</v>
      </c>
      <c r="D410" s="2">
        <f t="shared" si="17"/>
        <v>8.8761953316728111</v>
      </c>
      <c r="E410" s="2">
        <f>SUM(D$369:D410)</f>
        <v>448.85033890460591</v>
      </c>
      <c r="F410" s="2">
        <f t="shared" si="15"/>
        <v>10.686912831062045</v>
      </c>
    </row>
    <row r="411" spans="3:8" hidden="1" x14ac:dyDescent="0.2">
      <c r="C411" s="51">
        <f t="shared" si="16"/>
        <v>43</v>
      </c>
      <c r="D411" s="2">
        <f t="shared" si="17"/>
        <v>8.6774331610458155</v>
      </c>
      <c r="E411" s="2">
        <f>SUM(D$369:D411)</f>
        <v>457.52777206565173</v>
      </c>
      <c r="F411" s="2">
        <f t="shared" si="15"/>
        <v>10.640180745712831</v>
      </c>
    </row>
    <row r="412" spans="3:8" hidden="1" x14ac:dyDescent="0.2">
      <c r="C412" s="51">
        <f t="shared" si="16"/>
        <v>44</v>
      </c>
      <c r="D412" s="2">
        <f t="shared" si="17"/>
        <v>8.4812227071662925</v>
      </c>
      <c r="E412" s="2">
        <f>SUM(D$369:D412)</f>
        <v>466.00899477281803</v>
      </c>
      <c r="F412" s="2">
        <f t="shared" si="15"/>
        <v>10.591113517564047</v>
      </c>
    </row>
    <row r="413" spans="3:8" hidden="1" x14ac:dyDescent="0.2">
      <c r="C413" s="51">
        <f t="shared" si="16"/>
        <v>45</v>
      </c>
      <c r="D413" s="2">
        <f t="shared" si="17"/>
        <v>8.2877697096457474</v>
      </c>
      <c r="E413" s="2">
        <f>SUM(D$369:D413)</f>
        <v>474.2967644824638</v>
      </c>
      <c r="F413" s="2">
        <f t="shared" si="15"/>
        <v>10.539928099610307</v>
      </c>
    </row>
    <row r="414" spans="3:8" hidden="1" x14ac:dyDescent="0.2">
      <c r="C414" s="51">
        <f t="shared" si="16"/>
        <v>46</v>
      </c>
      <c r="D414" s="2">
        <f t="shared" si="17"/>
        <v>8.097244856299973</v>
      </c>
      <c r="E414" s="2">
        <f>SUM(D$369:D414)</f>
        <v>482.39400933876379</v>
      </c>
      <c r="F414" s="2">
        <f t="shared" si="15"/>
        <v>10.486826289973125</v>
      </c>
    </row>
    <row r="415" spans="3:8" hidden="1" x14ac:dyDescent="0.2">
      <c r="C415" s="51">
        <f t="shared" si="16"/>
        <v>47</v>
      </c>
      <c r="D415" s="2">
        <f t="shared" si="17"/>
        <v>7.9097878520685834</v>
      </c>
      <c r="E415" s="2">
        <f>SUM(D$369:D415)</f>
        <v>490.30379719083237</v>
      </c>
      <c r="F415" s="2">
        <f t="shared" si="15"/>
        <v>10.431995684911326</v>
      </c>
      <c r="H415" s="2"/>
    </row>
    <row r="416" spans="3:8" hidden="1" x14ac:dyDescent="0.2">
      <c r="C416" s="51">
        <f t="shared" si="16"/>
        <v>48</v>
      </c>
      <c r="D416" s="2">
        <f t="shared" si="17"/>
        <v>7.7255110737469375</v>
      </c>
      <c r="E416" s="2">
        <f>SUM(D$369:D416)</f>
        <v>498.0293082645793</v>
      </c>
      <c r="F416" s="2">
        <f t="shared" si="15"/>
        <v>10.375610588845403</v>
      </c>
    </row>
    <row r="417" spans="2:6" hidden="1" x14ac:dyDescent="0.2">
      <c r="C417" s="51">
        <f t="shared" si="16"/>
        <v>49</v>
      </c>
      <c r="D417" s="2">
        <f t="shared" si="17"/>
        <v>7.5445028453849048</v>
      </c>
      <c r="E417" s="2">
        <f>SUM(D$369:D417)</f>
        <v>505.5738111099642</v>
      </c>
      <c r="F417" s="2">
        <f t="shared" si="15"/>
        <v>10.317832879795187</v>
      </c>
    </row>
    <row r="418" spans="2:6" hidden="1" x14ac:dyDescent="0.2">
      <c r="C418" s="51">
        <f t="shared" si="16"/>
        <v>50</v>
      </c>
      <c r="D418" s="2">
        <f t="shared" si="17"/>
        <v>7.3668303678091442</v>
      </c>
      <c r="E418" s="2">
        <f>SUM(D$369:D418)</f>
        <v>512.9406414777734</v>
      </c>
      <c r="F418" s="2">
        <f t="shared" si="15"/>
        <v>10.258812829555469</v>
      </c>
    </row>
    <row r="419" spans="2:6" hidden="1" x14ac:dyDescent="0.2">
      <c r="C419" s="51">
        <f t="shared" si="16"/>
        <v>51</v>
      </c>
      <c r="D419" s="2">
        <f t="shared" si="17"/>
        <v>7.1925423339804695</v>
      </c>
      <c r="E419" s="2">
        <f>SUM(D$369:D419)</f>
        <v>520.13318381175384</v>
      </c>
      <c r="F419" s="2">
        <f t="shared" si="15"/>
        <v>10.19868987866184</v>
      </c>
    </row>
    <row r="420" spans="2:6" hidden="1" x14ac:dyDescent="0.2">
      <c r="C420" s="51">
        <f t="shared" si="16"/>
        <v>52</v>
      </c>
      <c r="D420" s="2">
        <f t="shared" si="17"/>
        <v>7.0216712599399811</v>
      </c>
      <c r="E420" s="2">
        <f>SUM(D$369:D420)</f>
        <v>527.15485507169387</v>
      </c>
      <c r="F420" s="2">
        <f t="shared" si="15"/>
        <v>10.137593366763344</v>
      </c>
    </row>
    <row r="421" spans="2:6" hidden="1" x14ac:dyDescent="0.2">
      <c r="C421" s="51">
        <f t="shared" si="16"/>
        <v>53</v>
      </c>
      <c r="D421" s="2">
        <f t="shared" si="17"/>
        <v>6.8542355590301538</v>
      </c>
      <c r="E421" s="2">
        <f>SUM(D$369:D421)</f>
        <v>534.00909063072402</v>
      </c>
      <c r="F421" s="2">
        <f t="shared" si="15"/>
        <v>10.075643219447622</v>
      </c>
    </row>
    <row r="422" spans="2:6" hidden="1" x14ac:dyDescent="0.2">
      <c r="C422" s="51">
        <f t="shared" si="16"/>
        <v>54</v>
      </c>
      <c r="D422" s="2">
        <f t="shared" si="17"/>
        <v>6.6902413849763702</v>
      </c>
      <c r="E422" s="2">
        <f>SUM(D$369:D422)</f>
        <v>540.69933201570041</v>
      </c>
      <c r="F422" s="2">
        <f t="shared" si="15"/>
        <v>10.012950592883341</v>
      </c>
    </row>
    <row r="423" spans="2:6" hidden="1" x14ac:dyDescent="0.2">
      <c r="C423" s="51">
        <f t="shared" si="16"/>
        <v>55</v>
      </c>
      <c r="D423" s="2">
        <f t="shared" si="17"/>
        <v>6.5296842673366475</v>
      </c>
      <c r="E423" s="2">
        <f>SUM(D$369:D423)</f>
        <v>547.22901628303703</v>
      </c>
      <c r="F423" s="2">
        <f t="shared" si="15"/>
        <v>9.9496184778734005</v>
      </c>
    </row>
    <row r="424" spans="2:6" hidden="1" x14ac:dyDescent="0.2">
      <c r="C424" s="51">
        <f t="shared" si="16"/>
        <v>56</v>
      </c>
      <c r="D424" s="2">
        <f t="shared" si="17"/>
        <v>6.3725505608125426</v>
      </c>
      <c r="E424" s="2">
        <f>SUM(D$369:D424)</f>
        <v>553.60156684384958</v>
      </c>
      <c r="F424" s="2">
        <f t="shared" si="15"/>
        <v>9.8857422650687425</v>
      </c>
    </row>
    <row r="425" spans="2:6" hidden="1" x14ac:dyDescent="0.2">
      <c r="C425" s="51">
        <f t="shared" si="16"/>
        <v>57</v>
      </c>
      <c r="D425" s="2">
        <f t="shared" si="17"/>
        <v>6.2188187279896265</v>
      </c>
      <c r="E425" s="2">
        <f>SUM(D$369:D425)</f>
        <v>559.82038557183921</v>
      </c>
      <c r="F425" s="2">
        <f t="shared" si="15"/>
        <v>9.8214102731901622</v>
      </c>
    </row>
    <row r="426" spans="2:6" hidden="1" x14ac:dyDescent="0.2">
      <c r="C426" s="51">
        <f t="shared" si="16"/>
        <v>58</v>
      </c>
      <c r="D426" s="2">
        <f t="shared" si="17"/>
        <v>6.0684604732591785</v>
      </c>
      <c r="E426" s="2">
        <f>SUM(D$369:D426)</f>
        <v>565.88884604509838</v>
      </c>
      <c r="F426" s="2">
        <f t="shared" si="15"/>
        <v>9.7567042421568679</v>
      </c>
    </row>
    <row r="427" spans="2:6" hidden="1" x14ac:dyDescent="0.2">
      <c r="C427" s="51">
        <f t="shared" si="16"/>
        <v>59</v>
      </c>
      <c r="D427" s="2">
        <f t="shared" si="17"/>
        <v>5.9214417439741975</v>
      </c>
      <c r="E427" s="2">
        <f>SUM(D$369:D427)</f>
        <v>571.81028778907262</v>
      </c>
      <c r="F427" s="2">
        <f t="shared" si="15"/>
        <v>9.691699793035129</v>
      </c>
    </row>
    <row r="428" spans="2:6" hidden="1" x14ac:dyDescent="0.2"/>
    <row r="429" spans="2:6" hidden="1" x14ac:dyDescent="0.2"/>
    <row r="430" spans="2:6" hidden="1" x14ac:dyDescent="0.2"/>
    <row r="431" spans="2:6" hidden="1" x14ac:dyDescent="0.2"/>
    <row r="432" spans="2:6" ht="18" hidden="1" x14ac:dyDescent="0.2">
      <c r="B432" s="48" t="s">
        <v>103</v>
      </c>
    </row>
    <row r="433" spans="2:5" hidden="1" x14ac:dyDescent="0.2">
      <c r="B433" s="26" t="s">
        <v>34</v>
      </c>
      <c r="C433" s="27">
        <f>C208</f>
        <v>60</v>
      </c>
    </row>
    <row r="434" spans="2:5" hidden="1" x14ac:dyDescent="0.2">
      <c r="B434" s="26" t="s">
        <v>102</v>
      </c>
      <c r="C434" s="28">
        <v>0</v>
      </c>
    </row>
    <row r="435" spans="2:5" hidden="1" x14ac:dyDescent="0.2">
      <c r="B435" s="26"/>
      <c r="C435" s="16"/>
    </row>
    <row r="436" spans="2:5" hidden="1" x14ac:dyDescent="0.2">
      <c r="B436" s="26" t="s">
        <v>117</v>
      </c>
    </row>
    <row r="437" spans="2:5" hidden="1" x14ac:dyDescent="0.2"/>
    <row r="438" spans="2:5" hidden="1" x14ac:dyDescent="0.2"/>
    <row r="439" spans="2:5" ht="38.25" hidden="1" x14ac:dyDescent="0.2">
      <c r="B439" s="31" t="s">
        <v>7</v>
      </c>
      <c r="C439" s="31" t="s">
        <v>103</v>
      </c>
      <c r="D439" s="31" t="s">
        <v>104</v>
      </c>
    </row>
    <row r="440" spans="2:5" hidden="1" x14ac:dyDescent="0.2">
      <c r="B440" s="5">
        <v>0</v>
      </c>
      <c r="C440" s="5">
        <v>0</v>
      </c>
      <c r="D440" s="3">
        <f>SUM(C440:C$440)/1000</f>
        <v>0</v>
      </c>
      <c r="E440" s="5"/>
    </row>
    <row r="441" spans="2:5" hidden="1" x14ac:dyDescent="0.2">
      <c r="B441" s="5">
        <f>B440+1</f>
        <v>1</v>
      </c>
      <c r="C441" s="5">
        <f t="shared" ref="C441:C476" si="18">(LN(B441+0.01)*$C$433+$C$434)</f>
        <v>0.59701985119008549</v>
      </c>
      <c r="D441" s="3">
        <f>SUM(C$440:C441)/1000</f>
        <v>5.9701985119008549E-4</v>
      </c>
      <c r="E441" s="5"/>
    </row>
    <row r="442" spans="2:5" hidden="1" x14ac:dyDescent="0.2">
      <c r="B442" s="5">
        <f t="shared" ref="B442:B476" si="19">B441+1</f>
        <v>2</v>
      </c>
      <c r="C442" s="5">
        <f t="shared" si="18"/>
        <v>41.888083324259057</v>
      </c>
      <c r="D442" s="3">
        <f>SUM(C$440:C442)/1000</f>
        <v>4.2485103175449138E-2</v>
      </c>
      <c r="E442" s="5"/>
    </row>
    <row r="443" spans="2:5" hidden="1" x14ac:dyDescent="0.2">
      <c r="B443" s="5">
        <f t="shared" si="19"/>
        <v>3</v>
      </c>
      <c r="C443" s="5">
        <f t="shared" si="18"/>
        <v>66.116404725647058</v>
      </c>
      <c r="D443" s="3">
        <f>SUM(C$440:C443)/1000</f>
        <v>0.1086015079010962</v>
      </c>
      <c r="E443" s="5"/>
    </row>
    <row r="444" spans="2:5" hidden="1" x14ac:dyDescent="0.2">
      <c r="B444" s="5">
        <f t="shared" si="19"/>
        <v>4</v>
      </c>
      <c r="C444" s="5">
        <f t="shared" si="18"/>
        <v>83.327474479108659</v>
      </c>
      <c r="D444" s="3">
        <f>SUM(C$440:C444)/1000</f>
        <v>0.19192898238020484</v>
      </c>
      <c r="E444" s="5"/>
    </row>
    <row r="445" spans="2:5" hidden="1" x14ac:dyDescent="0.2">
      <c r="B445" s="5">
        <f t="shared" si="19"/>
        <v>5</v>
      </c>
      <c r="C445" s="5">
        <f t="shared" si="18"/>
        <v>96.686154905806404</v>
      </c>
      <c r="D445" s="3">
        <f>SUM(C$440:C445)/1000</f>
        <v>0.28861513728601124</v>
      </c>
      <c r="E445" s="5"/>
    </row>
    <row r="446" spans="2:5" hidden="1" x14ac:dyDescent="0.2">
      <c r="B446" s="5">
        <f t="shared" si="19"/>
        <v>6</v>
      </c>
      <c r="C446" s="5">
        <f t="shared" si="18"/>
        <v>107.60548491282697</v>
      </c>
      <c r="D446" s="3">
        <f>SUM(C$440:C446)/1000</f>
        <v>0.39622062219883819</v>
      </c>
      <c r="E446" s="5"/>
    </row>
    <row r="447" spans="2:5" hidden="1" x14ac:dyDescent="0.2">
      <c r="B447" s="5">
        <f t="shared" si="19"/>
        <v>7</v>
      </c>
      <c r="C447" s="5">
        <f t="shared" si="18"/>
        <v>116.84026206278992</v>
      </c>
      <c r="D447" s="3">
        <f>SUM(C$440:C447)/1000</f>
        <v>0.51306088426162821</v>
      </c>
      <c r="E447" s="5"/>
    </row>
    <row r="448" spans="2:5" hidden="1" x14ac:dyDescent="0.2">
      <c r="B448" s="5">
        <f t="shared" si="19"/>
        <v>8</v>
      </c>
      <c r="C448" s="5">
        <f t="shared" si="18"/>
        <v>124.84144566481606</v>
      </c>
      <c r="D448" s="3">
        <f>SUM(C$440:C448)/1000</f>
        <v>0.63790232992644424</v>
      </c>
      <c r="E448" s="5"/>
    </row>
    <row r="449" spans="2:5" hidden="1" x14ac:dyDescent="0.2">
      <c r="B449" s="5">
        <f t="shared" si="19"/>
        <v>9</v>
      </c>
      <c r="C449" s="5">
        <f t="shared" si="18"/>
        <v>131.90010429721477</v>
      </c>
      <c r="D449" s="3">
        <f>SUM(C$440:C449)/1000</f>
        <v>0.76980243422365902</v>
      </c>
      <c r="E449" s="5"/>
    </row>
    <row r="450" spans="2:5" hidden="1" x14ac:dyDescent="0.2">
      <c r="B450" s="5">
        <f t="shared" si="19"/>
        <v>10</v>
      </c>
      <c r="C450" s="5">
        <f t="shared" si="18"/>
        <v>138.21507559962774</v>
      </c>
      <c r="D450" s="3">
        <f>SUM(C$440:C450)/1000</f>
        <v>0.90801750982328677</v>
      </c>
      <c r="E450" s="5"/>
    </row>
    <row r="451" spans="2:5" hidden="1" x14ac:dyDescent="0.2">
      <c r="B451" s="5">
        <f t="shared" si="19"/>
        <v>11</v>
      </c>
      <c r="C451" s="5">
        <f t="shared" si="18"/>
        <v>143.9282370440753</v>
      </c>
      <c r="D451" s="3">
        <f>SUM(C$440:C451)/1000</f>
        <v>1.0519457468673621</v>
      </c>
      <c r="E451" s="5"/>
    </row>
    <row r="452" spans="2:5" hidden="1" x14ac:dyDescent="0.2">
      <c r="B452" s="5">
        <f t="shared" si="19"/>
        <v>12</v>
      </c>
      <c r="C452" s="5">
        <f t="shared" si="18"/>
        <v>149.14437816551353</v>
      </c>
      <c r="D452" s="3">
        <f>SUM(C$440:C452)/1000</f>
        <v>1.2010901250328754</v>
      </c>
      <c r="E452" s="5"/>
    </row>
    <row r="453" spans="2:5" hidden="1" x14ac:dyDescent="0.2">
      <c r="B453" s="5">
        <f t="shared" si="19"/>
        <v>13</v>
      </c>
      <c r="C453" s="5">
        <f t="shared" si="18"/>
        <v>153.94309755146483</v>
      </c>
      <c r="D453" s="3">
        <f>SUM(C$440:C453)/1000</f>
        <v>1.3550332225843404</v>
      </c>
      <c r="E453" s="5"/>
    </row>
    <row r="454" spans="2:5" hidden="1" x14ac:dyDescent="0.2">
      <c r="B454" s="5">
        <f t="shared" si="19"/>
        <v>14</v>
      </c>
      <c r="C454" s="5">
        <f t="shared" si="18"/>
        <v>158.38628162093494</v>
      </c>
      <c r="D454" s="3">
        <f>SUM(C$440:C454)/1000</f>
        <v>1.5134195042052752</v>
      </c>
      <c r="E454" s="5"/>
    </row>
    <row r="455" spans="2:5" hidden="1" x14ac:dyDescent="0.2">
      <c r="B455" s="5">
        <f t="shared" si="19"/>
        <v>15</v>
      </c>
      <c r="C455" s="5">
        <f t="shared" si="18"/>
        <v>162.52299873872224</v>
      </c>
      <c r="D455" s="3">
        <f>SUM(C$440:C455)/1000</f>
        <v>1.6759425029439974</v>
      </c>
      <c r="E455" s="5"/>
    </row>
    <row r="456" spans="2:5" hidden="1" x14ac:dyDescent="0.2">
      <c r="B456" s="5">
        <f t="shared" si="19"/>
        <v>16</v>
      </c>
      <c r="C456" s="5">
        <f t="shared" si="18"/>
        <v>166.39281162051742</v>
      </c>
      <c r="D456" s="3">
        <f>SUM(C$440:C456)/1000</f>
        <v>1.8423353145645149</v>
      </c>
      <c r="E456" s="5"/>
    </row>
    <row r="457" spans="2:5" hidden="1" x14ac:dyDescent="0.2">
      <c r="B457" s="5">
        <f t="shared" si="19"/>
        <v>17</v>
      </c>
      <c r="C457" s="5">
        <f t="shared" si="18"/>
        <v>170.02808438446621</v>
      </c>
      <c r="D457" s="3">
        <f>SUM(C$440:C457)/1000</f>
        <v>2.0123633989489811</v>
      </c>
      <c r="E457" s="5"/>
    </row>
    <row r="458" spans="2:5" hidden="1" x14ac:dyDescent="0.2">
      <c r="B458" s="5">
        <f t="shared" si="19"/>
        <v>18</v>
      </c>
      <c r="C458" s="5">
        <f t="shared" si="18"/>
        <v>173.45562955127187</v>
      </c>
      <c r="D458" s="3">
        <f>SUM(C$440:C458)/1000</f>
        <v>2.1858190285002528</v>
      </c>
      <c r="E458" s="5"/>
    </row>
    <row r="459" spans="2:5" hidden="1" x14ac:dyDescent="0.2">
      <c r="B459" s="5">
        <f t="shared" si="19"/>
        <v>19</v>
      </c>
      <c r="C459" s="5">
        <f t="shared" si="18"/>
        <v>176.69790939002027</v>
      </c>
      <c r="D459" s="3">
        <f>SUM(C$440:C459)/1000</f>
        <v>2.3625169378902733</v>
      </c>
      <c r="E459" s="5"/>
    </row>
    <row r="460" spans="2:5" hidden="1" x14ac:dyDescent="0.2">
      <c r="B460" s="5">
        <f t="shared" si="19"/>
        <v>20</v>
      </c>
      <c r="C460" s="5">
        <f t="shared" si="18"/>
        <v>179.77392891573851</v>
      </c>
      <c r="D460" s="3">
        <f>SUM(C$440:C460)/1000</f>
        <v>2.5422908668060118</v>
      </c>
      <c r="E460" s="5"/>
    </row>
    <row r="461" spans="2:5" hidden="1" x14ac:dyDescent="0.2">
      <c r="B461" s="5">
        <f t="shared" si="19"/>
        <v>21</v>
      </c>
      <c r="C461" s="5">
        <f t="shared" si="18"/>
        <v>182.69991089141456</v>
      </c>
      <c r="D461" s="3">
        <f>SUM(C$440:C461)/1000</f>
        <v>2.7249907776974265</v>
      </c>
      <c r="E461" s="5"/>
    </row>
    <row r="462" spans="2:5" hidden="1" x14ac:dyDescent="0.2">
      <c r="B462" s="5">
        <f t="shared" si="19"/>
        <v>22</v>
      </c>
      <c r="C462" s="5">
        <f t="shared" si="18"/>
        <v>185.48981373230222</v>
      </c>
      <c r="D462" s="3">
        <f>SUM(C$440:C462)/1000</f>
        <v>2.9104805914297285</v>
      </c>
      <c r="E462" s="5"/>
    </row>
    <row r="463" spans="2:5" hidden="1" x14ac:dyDescent="0.2">
      <c r="B463" s="5">
        <f t="shared" si="19"/>
        <v>23</v>
      </c>
      <c r="C463" s="5">
        <f t="shared" si="18"/>
        <v>188.15573424283647</v>
      </c>
      <c r="D463" s="3">
        <f>SUM(C$440:C463)/1000</f>
        <v>3.0986363256725649</v>
      </c>
      <c r="E463" s="5"/>
    </row>
    <row r="464" spans="2:5" hidden="1" x14ac:dyDescent="0.2">
      <c r="B464" s="5">
        <f t="shared" si="19"/>
        <v>24</v>
      </c>
      <c r="C464" s="5">
        <f t="shared" si="18"/>
        <v>190.70822461398973</v>
      </c>
      <c r="D464" s="3">
        <f>SUM(C$440:C464)/1000</f>
        <v>3.2893445502865548</v>
      </c>
      <c r="E464" s="5"/>
    </row>
    <row r="465" spans="1:7" hidden="1" x14ac:dyDescent="0.2">
      <c r="B465" s="5">
        <f t="shared" si="19"/>
        <v>25</v>
      </c>
      <c r="C465" s="5">
        <f t="shared" si="18"/>
        <v>193.15654469337167</v>
      </c>
      <c r="D465" s="3">
        <f>SUM(C$440:C465)/1000</f>
        <v>3.4825010949799267</v>
      </c>
      <c r="E465" s="5"/>
    </row>
    <row r="466" spans="1:7" hidden="1" x14ac:dyDescent="0.2">
      <c r="B466" s="5">
        <f t="shared" si="19"/>
        <v>26</v>
      </c>
      <c r="C466" s="5">
        <f t="shared" si="18"/>
        <v>195.50886476763361</v>
      </c>
      <c r="D466" s="3">
        <f>SUM(C$440:C466)/1000</f>
        <v>3.67800995974756</v>
      </c>
      <c r="E466" s="5"/>
    </row>
    <row r="467" spans="1:7" hidden="1" x14ac:dyDescent="0.2">
      <c r="B467" s="5">
        <f t="shared" si="19"/>
        <v>27</v>
      </c>
      <c r="C467" s="5">
        <f t="shared" si="18"/>
        <v>197.77243006827146</v>
      </c>
      <c r="D467" s="3">
        <f>SUM(C$440:C467)/1000</f>
        <v>3.8757823898158317</v>
      </c>
      <c r="E467" s="5"/>
    </row>
    <row r="468" spans="1:7" hidden="1" x14ac:dyDescent="0.2">
      <c r="B468" s="5">
        <f t="shared" si="19"/>
        <v>28</v>
      </c>
      <c r="C468" s="5">
        <f t="shared" si="18"/>
        <v>199.95369535632102</v>
      </c>
      <c r="D468" s="3">
        <f>SUM(C$440:C468)/1000</f>
        <v>4.0757360851721529</v>
      </c>
      <c r="E468" s="5"/>
    </row>
    <row r="469" spans="1:7" hidden="1" x14ac:dyDescent="0.2">
      <c r="B469" s="5">
        <f t="shared" si="19"/>
        <v>29</v>
      </c>
      <c r="C469" s="5">
        <f t="shared" si="18"/>
        <v>202.05843588799877</v>
      </c>
      <c r="D469" s="3">
        <f>SUM(C$440:C469)/1000</f>
        <v>4.2777945210601516</v>
      </c>
      <c r="E469" s="5"/>
    </row>
    <row r="470" spans="1:7" hidden="1" x14ac:dyDescent="0.2">
      <c r="B470" s="5">
        <f t="shared" si="19"/>
        <v>30</v>
      </c>
      <c r="C470" s="5">
        <f t="shared" si="18"/>
        <v>204.09183956713653</v>
      </c>
      <c r="D470" s="3">
        <f>SUM(C$440:C470)/1000</f>
        <v>4.4818863606272892</v>
      </c>
      <c r="E470" s="5"/>
    </row>
    <row r="471" spans="1:7" hidden="1" x14ac:dyDescent="0.2">
      <c r="B471" s="5">
        <f t="shared" si="19"/>
        <v>31</v>
      </c>
      <c r="C471" s="5">
        <f t="shared" si="18"/>
        <v>206.05858398674147</v>
      </c>
      <c r="D471" s="3">
        <f>SUM(C$440:C471)/1000</f>
        <v>4.6879449446140304</v>
      </c>
      <c r="E471" s="5"/>
    </row>
    <row r="472" spans="1:7" hidden="1" x14ac:dyDescent="0.2">
      <c r="B472" s="5">
        <f t="shared" si="19"/>
        <v>32</v>
      </c>
      <c r="C472" s="5">
        <f t="shared" si="18"/>
        <v>207.96290123890631</v>
      </c>
      <c r="D472" s="3">
        <f>SUM(C$440:C472)/1000</f>
        <v>4.8959078458529364</v>
      </c>
      <c r="E472" s="5"/>
    </row>
    <row r="473" spans="1:7" hidden="1" x14ac:dyDescent="0.2">
      <c r="B473" s="5">
        <f t="shared" si="19"/>
        <v>33</v>
      </c>
      <c r="C473" s="5">
        <f t="shared" si="18"/>
        <v>209.80863275190609</v>
      </c>
      <c r="D473" s="3">
        <f>SUM(C$440:C473)/1000</f>
        <v>5.1057164786048421</v>
      </c>
      <c r="E473" s="5"/>
    </row>
    <row r="474" spans="1:7" hidden="1" x14ac:dyDescent="0.2">
      <c r="B474" s="5">
        <f t="shared" si="19"/>
        <v>34</v>
      </c>
      <c r="C474" s="5">
        <f t="shared" si="18"/>
        <v>211.59927594114623</v>
      </c>
      <c r="D474" s="3">
        <f>SUM(C$440:C474)/1000</f>
        <v>5.317315754545989</v>
      </c>
      <c r="E474" s="5"/>
    </row>
    <row r="475" spans="1:7" hidden="1" x14ac:dyDescent="0.2">
      <c r="B475" s="5">
        <f t="shared" si="19"/>
        <v>35</v>
      </c>
      <c r="C475" s="5">
        <f t="shared" si="18"/>
        <v>213.33802409799443</v>
      </c>
      <c r="D475" s="3">
        <f>SUM(C$440:C475)/1000</f>
        <v>5.5306537786439831</v>
      </c>
      <c r="E475" s="5"/>
    </row>
    <row r="476" spans="1:7" hidden="1" x14ac:dyDescent="0.2">
      <c r="B476" s="5">
        <f t="shared" si="19"/>
        <v>36</v>
      </c>
      <c r="C476" s="5">
        <f t="shared" si="18"/>
        <v>215.02780065964703</v>
      </c>
      <c r="D476" s="3">
        <f>SUM(C$440:C476)/1000</f>
        <v>5.7456815793036302</v>
      </c>
      <c r="E476" s="5"/>
    </row>
    <row r="477" spans="1:7" hidden="1" x14ac:dyDescent="0.2"/>
    <row r="478" spans="1:7" hidden="1" x14ac:dyDescent="0.2"/>
    <row r="479" spans="1:7" hidden="1" x14ac:dyDescent="0.2"/>
    <row r="480" spans="1:7" ht="13.5" hidden="1" thickBot="1" x14ac:dyDescent="0.25">
      <c r="A480" s="258" t="s">
        <v>4</v>
      </c>
      <c r="B480" s="259"/>
      <c r="C480" s="259"/>
      <c r="D480" s="259"/>
      <c r="E480" s="259"/>
      <c r="F480" s="259"/>
      <c r="G480" s="259"/>
    </row>
    <row r="481" spans="2:8" hidden="1" x14ac:dyDescent="0.2"/>
    <row r="482" spans="2:8" hidden="1" x14ac:dyDescent="0.2"/>
    <row r="483" spans="2:8" hidden="1" x14ac:dyDescent="0.2">
      <c r="B483" s="34"/>
      <c r="C483" s="2"/>
      <c r="D483" s="4"/>
    </row>
    <row r="484" spans="2:8" hidden="1" x14ac:dyDescent="0.2">
      <c r="B484" s="34"/>
      <c r="C484" s="2"/>
      <c r="D484" s="4"/>
    </row>
    <row r="485" spans="2:8" ht="25.5" hidden="1" x14ac:dyDescent="0.2">
      <c r="B485" s="58" t="s">
        <v>158</v>
      </c>
      <c r="C485" s="93" t="str">
        <f>C23</f>
        <v>Uden mælkekopper</v>
      </c>
      <c r="D485" s="93" t="str">
        <f>D23</f>
        <v>Med mælkekopper</v>
      </c>
      <c r="F485" s="93" t="str">
        <f>E23</f>
        <v>Forskel Med-Uden</v>
      </c>
      <c r="G485" s="93" t="str">
        <f>F23</f>
        <v>Uden mælkekopper</v>
      </c>
    </row>
    <row r="486" spans="2:8" hidden="1" x14ac:dyDescent="0.2">
      <c r="B486" s="34" t="s">
        <v>160</v>
      </c>
      <c r="C486" s="47">
        <f>C100</f>
        <v>456</v>
      </c>
      <c r="D486" s="47">
        <f>D100</f>
        <v>456</v>
      </c>
      <c r="E486" s="28"/>
      <c r="F486" s="47">
        <f>F100</f>
        <v>456</v>
      </c>
      <c r="G486" s="47">
        <f>G100</f>
        <v>456</v>
      </c>
      <c r="H486" s="26" t="s">
        <v>294</v>
      </c>
    </row>
    <row r="487" spans="2:8" hidden="1" x14ac:dyDescent="0.2">
      <c r="B487" s="65" t="s">
        <v>166</v>
      </c>
      <c r="C487" s="47">
        <v>300</v>
      </c>
      <c r="D487" s="47">
        <v>300</v>
      </c>
      <c r="F487" s="47">
        <v>300</v>
      </c>
      <c r="G487" s="47">
        <v>300</v>
      </c>
    </row>
    <row r="488" spans="2:8" hidden="1" x14ac:dyDescent="0.2">
      <c r="B488" s="65" t="s">
        <v>167</v>
      </c>
      <c r="C488" s="47">
        <f>LN(C487)</f>
        <v>5.7037824746562009</v>
      </c>
      <c r="D488" s="47">
        <f>LN(D487)</f>
        <v>5.7037824746562009</v>
      </c>
      <c r="F488" s="47">
        <f>LN(F487)</f>
        <v>5.7037824746562009</v>
      </c>
      <c r="G488" s="47">
        <f>LN(G487)</f>
        <v>5.7037824746562009</v>
      </c>
    </row>
    <row r="489" spans="2:8" hidden="1" x14ac:dyDescent="0.2">
      <c r="B489" s="34" t="s">
        <v>274</v>
      </c>
      <c r="C489" s="27">
        <f>-LN((LN(300)-LN(30))/(LN(300)-LN(7)))/(23/(C486/1000))</f>
        <v>9.7112234521210573E-3</v>
      </c>
      <c r="D489" s="27">
        <f>-LN((LN(300)-LN(30))/(LN(300)-LN(7)))/(23/(D486/1000))</f>
        <v>9.7112234521210573E-3</v>
      </c>
      <c r="F489" s="27">
        <f>-LN((LN(300)-LN(30))/(LN(300)-LN(7)))/(23/(F486/1000))</f>
        <v>9.7112234521210573E-3</v>
      </c>
      <c r="G489" s="27">
        <f>-LN((LN(300)-LN(30))/(LN(300)-LN(7)))/(23/(G486/1000))</f>
        <v>9.7112234521210573E-3</v>
      </c>
    </row>
    <row r="490" spans="2:8" hidden="1" x14ac:dyDescent="0.2">
      <c r="B490" s="34" t="s">
        <v>161</v>
      </c>
      <c r="C490" s="27">
        <f>C101</f>
        <v>1.7</v>
      </c>
      <c r="D490" s="27">
        <f>D101</f>
        <v>1.7</v>
      </c>
      <c r="E490" s="27">
        <f>E101</f>
        <v>0</v>
      </c>
      <c r="F490" s="27">
        <f>F101</f>
        <v>1.7</v>
      </c>
      <c r="G490" s="27">
        <f>G101</f>
        <v>1.7</v>
      </c>
    </row>
    <row r="491" spans="2:8" hidden="1" x14ac:dyDescent="0.2">
      <c r="B491" s="34" t="s">
        <v>165</v>
      </c>
      <c r="C491" s="176">
        <f>C106%</f>
        <v>3.3000000000000002E-2</v>
      </c>
      <c r="D491" s="176">
        <f>D106%</f>
        <v>3.3000000000000002E-2</v>
      </c>
      <c r="E491" s="28"/>
      <c r="F491" s="176">
        <f>F106%</f>
        <v>3.3000000000000002E-2</v>
      </c>
      <c r="G491" s="176">
        <f>G106%</f>
        <v>3.3000000000000002E-2</v>
      </c>
    </row>
    <row r="492" spans="2:8" hidden="1" x14ac:dyDescent="0.2">
      <c r="B492" s="34" t="s">
        <v>162</v>
      </c>
      <c r="C492" s="2">
        <f>C107</f>
        <v>6.8334707609625678</v>
      </c>
      <c r="D492" s="2">
        <f>D107</f>
        <v>7.2380751144199742</v>
      </c>
      <c r="E492" s="2">
        <f>E107</f>
        <v>0.40460435345740642</v>
      </c>
      <c r="F492" s="2">
        <f>F107</f>
        <v>6.8334707609625678</v>
      </c>
      <c r="G492" s="2">
        <f>G107</f>
        <v>7.2380751144199742</v>
      </c>
    </row>
    <row r="493" spans="2:8" hidden="1" x14ac:dyDescent="0.2">
      <c r="B493" s="34" t="s">
        <v>163</v>
      </c>
      <c r="C493" s="47">
        <f>C105</f>
        <v>53</v>
      </c>
      <c r="D493" s="47">
        <f>D105</f>
        <v>53</v>
      </c>
      <c r="E493" s="47">
        <f>E105</f>
        <v>0</v>
      </c>
      <c r="F493" s="47">
        <f>F105</f>
        <v>53</v>
      </c>
      <c r="G493" s="47">
        <f>G105</f>
        <v>53</v>
      </c>
    </row>
    <row r="494" spans="2:8" hidden="1" x14ac:dyDescent="0.2">
      <c r="B494" s="34" t="s">
        <v>164</v>
      </c>
      <c r="C494" s="2">
        <f>EXP(C488-(C488-LN(C492))*EXP(-C489*(C493)))</f>
        <v>31.292409708151741</v>
      </c>
      <c r="D494" s="2">
        <f>EXP(D488-(D488-LN(D492))*EXP(-D489*(D493)))</f>
        <v>32.386958969939634</v>
      </c>
      <c r="F494" s="2">
        <f>EXP(F488-(F488-LN(F492))*EXP(-F489*(F493)))</f>
        <v>31.292409708151741</v>
      </c>
      <c r="G494" s="2">
        <f>EXP(G488-(G488-LN(G492))*EXP(-G489*(G493)))</f>
        <v>32.386958969939634</v>
      </c>
    </row>
    <row r="495" spans="2:8" hidden="1" x14ac:dyDescent="0.2">
      <c r="B495" s="34"/>
      <c r="C495" s="2"/>
      <c r="D495" s="2"/>
      <c r="F495" s="2"/>
      <c r="G495" s="2"/>
    </row>
    <row r="496" spans="2:8" hidden="1" x14ac:dyDescent="0.2">
      <c r="B496" s="32"/>
      <c r="C496" s="24"/>
      <c r="D496" s="33"/>
      <c r="F496" s="24"/>
      <c r="G496" s="33"/>
    </row>
    <row r="497" spans="1:8" hidden="1" x14ac:dyDescent="0.2">
      <c r="B497" s="58" t="s">
        <v>192</v>
      </c>
      <c r="C497" s="24"/>
      <c r="D497" s="33"/>
      <c r="F497" s="24"/>
      <c r="G497" s="33"/>
    </row>
    <row r="498" spans="1:8" hidden="1" x14ac:dyDescent="0.2">
      <c r="B498" s="32"/>
      <c r="C498" s="24"/>
      <c r="D498" s="33"/>
      <c r="F498" s="24"/>
      <c r="G498" s="33"/>
    </row>
    <row r="499" spans="1:8" hidden="1" x14ac:dyDescent="0.2">
      <c r="A499" s="26" t="s">
        <v>189</v>
      </c>
      <c r="B499" s="26" t="s">
        <v>190</v>
      </c>
      <c r="C499" s="51" t="str">
        <f>C23</f>
        <v>Uden mælkekopper</v>
      </c>
      <c r="D499" s="51" t="str">
        <f>D23</f>
        <v>Med mælkekopper</v>
      </c>
      <c r="F499" s="51" t="str">
        <f>E23</f>
        <v>Forskel Med-Uden</v>
      </c>
      <c r="G499" s="51" t="str">
        <f>F23</f>
        <v>Uden mælkekopper</v>
      </c>
      <c r="H499" s="26" t="s">
        <v>191</v>
      </c>
    </row>
    <row r="500" spans="1:8" hidden="1" x14ac:dyDescent="0.2">
      <c r="A500" s="51">
        <v>0</v>
      </c>
      <c r="B500" s="34" t="str">
        <f>"Indvægt-"&amp;B510</f>
        <v>Indvægt-Fravænningsblanding</v>
      </c>
      <c r="C500" s="29">
        <f>IF(C492&lt;=$D$85,C492,0)</f>
        <v>6.8334707609625678</v>
      </c>
      <c r="D500" s="29">
        <f>IF(D492&lt;=$D$85,D492,0)</f>
        <v>7.2380751144199742</v>
      </c>
      <c r="F500" s="29">
        <f>IF(F492&lt;=$D$85,F492,0)</f>
        <v>6.8334707609625678</v>
      </c>
      <c r="G500" s="29">
        <f>IF(G492&lt;=$D$85,G492,0)</f>
        <v>7.2380751144199742</v>
      </c>
    </row>
    <row r="501" spans="1:8" hidden="1" x14ac:dyDescent="0.2">
      <c r="A501" s="51">
        <v>0</v>
      </c>
      <c r="B501" s="34" t="str">
        <f>"Udvægt-"&amp;B510</f>
        <v>Udvægt-Fravænningsblanding</v>
      </c>
      <c r="C501" s="29">
        <f>IF(VLOOKUP($B510,$B$85:$D$88,3,FALSE)&lt;=C$494,VLOOKUP($B510,$B$85:$D$88,3,FALSE),C$494)</f>
        <v>9</v>
      </c>
      <c r="D501" s="29">
        <f>IF(VLOOKUP($B510,$B$85:$D$88,3,FALSE)&lt;=D$494,VLOOKUP($B510,$B$85:$D$88,3,FALSE),D$494)</f>
        <v>9</v>
      </c>
      <c r="F501" s="29">
        <f>IF(VLOOKUP($B510,$B$85:$D$88,3,FALSE)&lt;=F$494,VLOOKUP($B510,$B$85:$D$88,3,FALSE),F$494)</f>
        <v>9</v>
      </c>
      <c r="G501" s="29">
        <f>IF(VLOOKUP($B510,$B$85:$D$88,3,FALSE)&lt;=G$494,VLOOKUP($B510,$B$85:$D$88,3,FALSE),G$494)</f>
        <v>9</v>
      </c>
    </row>
    <row r="502" spans="1:8" hidden="1" x14ac:dyDescent="0.2">
      <c r="A502" s="51">
        <v>0</v>
      </c>
      <c r="B502" s="34" t="str">
        <f>"Indvægt-"&amp;B511</f>
        <v>Indvægt-Smågriseblanding 1</v>
      </c>
      <c r="C502" s="29">
        <f>C501</f>
        <v>9</v>
      </c>
      <c r="D502" s="29">
        <f>D501</f>
        <v>9</v>
      </c>
      <c r="F502" s="29">
        <f>F501</f>
        <v>9</v>
      </c>
      <c r="G502" s="29">
        <f>G501</f>
        <v>9</v>
      </c>
    </row>
    <row r="503" spans="1:8" hidden="1" x14ac:dyDescent="0.2">
      <c r="A503" s="51">
        <v>0</v>
      </c>
      <c r="B503" s="34" t="str">
        <f>"Udvægt-"&amp;B511</f>
        <v>Udvægt-Smågriseblanding 1</v>
      </c>
      <c r="C503" s="29">
        <f>IF(VLOOKUP($B511,$B$85:$D$88,3,FALSE)&lt;=C$494,VLOOKUP($B511,$B$85:$D$88,3,FALSE),C$494)</f>
        <v>12</v>
      </c>
      <c r="D503" s="29">
        <f>IF(VLOOKUP($B511,$B$85:$D$88,3,FALSE)&lt;=D$494,VLOOKUP($B511,$B$85:$D$88,3,FALSE),D$494)</f>
        <v>12</v>
      </c>
      <c r="F503" s="29">
        <f>IF(VLOOKUP($B511,$B$85:$D$88,3,FALSE)&lt;=F$494,VLOOKUP($B511,$B$85:$D$88,3,FALSE),F$494)</f>
        <v>12</v>
      </c>
      <c r="G503" s="29">
        <f>IF(VLOOKUP($B511,$B$85:$D$88,3,FALSE)&lt;=G$494,VLOOKUP($B511,$B$85:$D$88,3,FALSE),G$494)</f>
        <v>12</v>
      </c>
    </row>
    <row r="504" spans="1:8" hidden="1" x14ac:dyDescent="0.2">
      <c r="A504" s="51">
        <v>0</v>
      </c>
      <c r="B504" s="34" t="str">
        <f>"Indvægt-"&amp;B512</f>
        <v>Indvægt-Smågriseblanding 2</v>
      </c>
      <c r="C504" s="29">
        <f>C503</f>
        <v>12</v>
      </c>
      <c r="D504" s="29">
        <f>D503</f>
        <v>12</v>
      </c>
      <c r="F504" s="29">
        <f>F503</f>
        <v>12</v>
      </c>
      <c r="G504" s="29">
        <f>G503</f>
        <v>12</v>
      </c>
    </row>
    <row r="505" spans="1:8" hidden="1" x14ac:dyDescent="0.2">
      <c r="A505" s="51">
        <v>0</v>
      </c>
      <c r="B505" s="34" t="str">
        <f>"Udvægt-"&amp;B512</f>
        <v>Udvægt-Smågriseblanding 2</v>
      </c>
      <c r="C505" s="29">
        <f>IF(VLOOKUP($B512,$B$85:$D$88,3,FALSE)&lt;=C$494,VLOOKUP($B512,$B$85:$D$88,3,FALSE),C$494)</f>
        <v>25</v>
      </c>
      <c r="D505" s="29">
        <f>IF(VLOOKUP($B512,$B$85:$D$88,3,FALSE)&lt;=D$494,VLOOKUP($B512,$B$85:$D$88,3,FALSE),D$494)</f>
        <v>25</v>
      </c>
      <c r="F505" s="29">
        <f>IF(VLOOKUP($B512,$B$85:$D$88,3,FALSE)&lt;=F$494,VLOOKUP($B512,$B$85:$D$88,3,FALSE),F$494)</f>
        <v>25</v>
      </c>
      <c r="G505" s="29">
        <f>IF(VLOOKUP($B512,$B$85:$D$88,3,FALSE)&lt;=G$494,VLOOKUP($B512,$B$85:$D$88,3,FALSE),G$494)</f>
        <v>25</v>
      </c>
    </row>
    <row r="506" spans="1:8" hidden="1" x14ac:dyDescent="0.2">
      <c r="A506" s="51">
        <v>0</v>
      </c>
      <c r="B506" s="34" t="str">
        <f>"Indvægt-"&amp;B513</f>
        <v>Indvægt-Smågriseblanding 3</v>
      </c>
      <c r="C506" s="29">
        <f>C505</f>
        <v>25</v>
      </c>
      <c r="D506" s="29">
        <f>D505</f>
        <v>25</v>
      </c>
      <c r="F506" s="29">
        <f>F505</f>
        <v>25</v>
      </c>
      <c r="G506" s="29">
        <f>G505</f>
        <v>25</v>
      </c>
    </row>
    <row r="507" spans="1:8" hidden="1" x14ac:dyDescent="0.2">
      <c r="A507" s="51">
        <v>0</v>
      </c>
      <c r="B507" s="34" t="str">
        <f>"Udvægt-"&amp;B513</f>
        <v>Udvægt-Smågriseblanding 3</v>
      </c>
      <c r="C507" s="29">
        <f>IF(C494&gt;C506,C494,C506)</f>
        <v>31.292409708151741</v>
      </c>
      <c r="D507" s="29">
        <f>IF(D494&gt;D506,D494,D506)</f>
        <v>32.386958969939634</v>
      </c>
      <c r="F507" s="29">
        <f>IF(F494&gt;F506,F494,F506)</f>
        <v>31.292409708151741</v>
      </c>
      <c r="G507" s="29">
        <f>IF(G494&gt;G506,G494,G506)</f>
        <v>32.386958969939634</v>
      </c>
    </row>
    <row r="508" spans="1:8" hidden="1" x14ac:dyDescent="0.2">
      <c r="A508" s="51">
        <v>0</v>
      </c>
      <c r="B508" s="34"/>
      <c r="C508" s="2"/>
      <c r="D508" s="2"/>
      <c r="F508" s="2"/>
      <c r="G508" s="2"/>
    </row>
    <row r="509" spans="1:8" hidden="1" x14ac:dyDescent="0.2">
      <c r="A509" s="51">
        <v>0</v>
      </c>
      <c r="B509" s="58" t="s">
        <v>168</v>
      </c>
      <c r="C509" s="2"/>
      <c r="D509" s="2"/>
      <c r="F509" s="2"/>
      <c r="G509" s="2"/>
    </row>
    <row r="510" spans="1:8" hidden="1" x14ac:dyDescent="0.2">
      <c r="A510" s="51">
        <v>0</v>
      </c>
      <c r="B510" s="34" t="str">
        <f>B85</f>
        <v>Fravænningsblanding</v>
      </c>
      <c r="C510" s="29">
        <f>C501-C500</f>
        <v>2.1665292390374322</v>
      </c>
      <c r="D510" s="29">
        <f>D501-D500</f>
        <v>1.7619248855800258</v>
      </c>
      <c r="F510" s="29">
        <f>F501-F500</f>
        <v>2.1665292390374322</v>
      </c>
      <c r="G510" s="29">
        <f>G501-G500</f>
        <v>1.7619248855800258</v>
      </c>
    </row>
    <row r="511" spans="1:8" hidden="1" x14ac:dyDescent="0.2">
      <c r="A511" s="51">
        <v>0</v>
      </c>
      <c r="B511" s="34" t="str">
        <f>B86</f>
        <v>Smågriseblanding 1</v>
      </c>
      <c r="C511" s="29">
        <f>C503-C502</f>
        <v>3</v>
      </c>
      <c r="D511" s="29">
        <f>D503-D502</f>
        <v>3</v>
      </c>
      <c r="F511" s="29">
        <f>F503-F502</f>
        <v>3</v>
      </c>
      <c r="G511" s="29">
        <f>G503-G502</f>
        <v>3</v>
      </c>
    </row>
    <row r="512" spans="1:8" hidden="1" x14ac:dyDescent="0.2">
      <c r="A512" s="51">
        <v>0</v>
      </c>
      <c r="B512" s="34" t="str">
        <f>B87</f>
        <v>Smågriseblanding 2</v>
      </c>
      <c r="C512" s="29">
        <f>C505-C504</f>
        <v>13</v>
      </c>
      <c r="D512" s="29">
        <f>D505-D504</f>
        <v>13</v>
      </c>
      <c r="F512" s="29">
        <f>F505-F504</f>
        <v>13</v>
      </c>
      <c r="G512" s="29">
        <f>G505-G504</f>
        <v>13</v>
      </c>
    </row>
    <row r="513" spans="1:7" hidden="1" x14ac:dyDescent="0.2">
      <c r="A513" s="51">
        <v>0</v>
      </c>
      <c r="B513" s="34" t="str">
        <f>B88</f>
        <v>Smågriseblanding 3</v>
      </c>
      <c r="C513" s="29">
        <f>C507-C506</f>
        <v>6.2924097081517409</v>
      </c>
      <c r="D513" s="29">
        <f>D507-D506</f>
        <v>7.3869589699396343</v>
      </c>
      <c r="F513" s="29">
        <f>F507-F506</f>
        <v>6.2924097081517409</v>
      </c>
      <c r="G513" s="29">
        <f>G507-G506</f>
        <v>7.3869589699396343</v>
      </c>
    </row>
    <row r="514" spans="1:7" hidden="1" x14ac:dyDescent="0.2">
      <c r="A514" s="51">
        <v>0</v>
      </c>
      <c r="B514" s="58"/>
    </row>
    <row r="515" spans="1:7" hidden="1" x14ac:dyDescent="0.2">
      <c r="A515" s="51">
        <v>0</v>
      </c>
      <c r="B515" s="58" t="s">
        <v>169</v>
      </c>
    </row>
    <row r="516" spans="1:7" hidden="1" x14ac:dyDescent="0.2">
      <c r="A516" s="51">
        <v>0</v>
      </c>
      <c r="B516" s="34" t="str">
        <f>B85</f>
        <v>Fravænningsblanding</v>
      </c>
      <c r="C516" s="2">
        <f t="shared" ref="C516:D519" si="20">C$490+(C523-AVERAGE(7,30))*0.018</f>
        <v>1.5095012368486631</v>
      </c>
      <c r="D516" s="2">
        <f t="shared" si="20"/>
        <v>1.5131426760297797</v>
      </c>
      <c r="F516" s="2">
        <f t="shared" ref="F516:G519" si="21">F$490+(F523-AVERAGE(7,30))*0.018</f>
        <v>1.5095012368486631</v>
      </c>
      <c r="G516" s="2">
        <f t="shared" si="21"/>
        <v>1.5131426760297797</v>
      </c>
    </row>
    <row r="517" spans="1:7" hidden="1" x14ac:dyDescent="0.2">
      <c r="A517" s="51">
        <v>0</v>
      </c>
      <c r="B517" s="34" t="str">
        <f>B86</f>
        <v>Smågriseblanding 1</v>
      </c>
      <c r="C517" s="2">
        <f t="shared" si="20"/>
        <v>1.556</v>
      </c>
      <c r="D517" s="2">
        <f t="shared" si="20"/>
        <v>1.556</v>
      </c>
      <c r="F517" s="2">
        <f t="shared" si="21"/>
        <v>1.556</v>
      </c>
      <c r="G517" s="2">
        <f t="shared" si="21"/>
        <v>1.556</v>
      </c>
    </row>
    <row r="518" spans="1:7" hidden="1" x14ac:dyDescent="0.2">
      <c r="A518" s="51">
        <v>0</v>
      </c>
      <c r="B518" s="34" t="str">
        <f>B87</f>
        <v>Smågriseblanding 2</v>
      </c>
      <c r="C518" s="2">
        <f t="shared" si="20"/>
        <v>1.7</v>
      </c>
      <c r="D518" s="2">
        <f t="shared" si="20"/>
        <v>1.7</v>
      </c>
      <c r="F518" s="2">
        <f t="shared" si="21"/>
        <v>1.7</v>
      </c>
      <c r="G518" s="2">
        <f t="shared" si="21"/>
        <v>1.7</v>
      </c>
    </row>
    <row r="519" spans="1:7" hidden="1" x14ac:dyDescent="0.2">
      <c r="A519" s="51">
        <v>0</v>
      </c>
      <c r="B519" s="34" t="str">
        <f>B88</f>
        <v>Smågriseblanding 3</v>
      </c>
      <c r="C519" s="2">
        <f t="shared" si="20"/>
        <v>1.8736316873733656</v>
      </c>
      <c r="D519" s="2">
        <f t="shared" si="20"/>
        <v>1.8834826307294565</v>
      </c>
      <c r="F519" s="2">
        <f t="shared" si="21"/>
        <v>1.8736316873733656</v>
      </c>
      <c r="G519" s="2">
        <f t="shared" si="21"/>
        <v>1.8834826307294565</v>
      </c>
    </row>
    <row r="520" spans="1:7" hidden="1" x14ac:dyDescent="0.2">
      <c r="A520" s="51">
        <v>0</v>
      </c>
      <c r="B520" s="58"/>
    </row>
    <row r="521" spans="1:7" hidden="1" x14ac:dyDescent="0.2">
      <c r="A521" s="51">
        <v>0</v>
      </c>
      <c r="B521" s="58"/>
    </row>
    <row r="522" spans="1:7" hidden="1" x14ac:dyDescent="0.2">
      <c r="A522" s="51">
        <v>0</v>
      </c>
      <c r="B522" s="26" t="s">
        <v>170</v>
      </c>
    </row>
    <row r="523" spans="1:7" hidden="1" x14ac:dyDescent="0.2">
      <c r="A523" s="51">
        <v>0</v>
      </c>
      <c r="B523" s="51" t="str">
        <f>B85</f>
        <v>Fravænningsblanding</v>
      </c>
      <c r="C523" s="2">
        <f>AVERAGE(C500,C501)</f>
        <v>7.9167353804812839</v>
      </c>
      <c r="D523" s="2">
        <f>AVERAGE(D500,D501)</f>
        <v>8.1190375572099871</v>
      </c>
      <c r="F523" s="2">
        <f>AVERAGE(F500,F501)</f>
        <v>7.9167353804812839</v>
      </c>
      <c r="G523" s="2">
        <f>AVERAGE(G500,G501)</f>
        <v>8.1190375572099871</v>
      </c>
    </row>
    <row r="524" spans="1:7" hidden="1" x14ac:dyDescent="0.2">
      <c r="A524" s="51">
        <v>0</v>
      </c>
      <c r="B524" s="51" t="str">
        <f>B86</f>
        <v>Smågriseblanding 1</v>
      </c>
      <c r="C524" s="2">
        <f>AVERAGE(C502,C503)</f>
        <v>10.5</v>
      </c>
      <c r="D524" s="2">
        <f>AVERAGE(D502,D503)</f>
        <v>10.5</v>
      </c>
      <c r="F524" s="2">
        <f>AVERAGE(F502,F503)</f>
        <v>10.5</v>
      </c>
      <c r="G524" s="2">
        <f>AVERAGE(G502,G503)</f>
        <v>10.5</v>
      </c>
    </row>
    <row r="525" spans="1:7" hidden="1" x14ac:dyDescent="0.2">
      <c r="A525" s="51">
        <v>0</v>
      </c>
      <c r="B525" s="51" t="str">
        <f>B87</f>
        <v>Smågriseblanding 2</v>
      </c>
      <c r="C525" s="2">
        <f>AVERAGE(C504,C505)</f>
        <v>18.5</v>
      </c>
      <c r="D525" s="2">
        <f>AVERAGE(D504,D505)</f>
        <v>18.5</v>
      </c>
      <c r="F525" s="2">
        <f>AVERAGE(F504,F505)</f>
        <v>18.5</v>
      </c>
      <c r="G525" s="2">
        <f>AVERAGE(G504,G505)</f>
        <v>18.5</v>
      </c>
    </row>
    <row r="526" spans="1:7" hidden="1" x14ac:dyDescent="0.2">
      <c r="A526" s="51">
        <v>0</v>
      </c>
      <c r="B526" s="51" t="str">
        <f>B88</f>
        <v>Smågriseblanding 3</v>
      </c>
      <c r="C526" s="2">
        <f>AVERAGE(C506,C507)</f>
        <v>28.146204854075869</v>
      </c>
      <c r="D526" s="2">
        <f>AVERAGE(D506,D507)</f>
        <v>28.693479484969817</v>
      </c>
      <c r="F526" s="2">
        <f>AVERAGE(F506,F507)</f>
        <v>28.146204854075869</v>
      </c>
      <c r="G526" s="2">
        <f>AVERAGE(G506,G507)</f>
        <v>28.693479484969817</v>
      </c>
    </row>
    <row r="527" spans="1:7" hidden="1" x14ac:dyDescent="0.2"/>
    <row r="528" spans="1:7"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sheetData>
  <mergeCells count="11">
    <mergeCell ref="C2:E2"/>
    <mergeCell ref="C3:E3"/>
    <mergeCell ref="B7:E7"/>
    <mergeCell ref="B4:E4"/>
    <mergeCell ref="A480:G480"/>
    <mergeCell ref="C22:E22"/>
    <mergeCell ref="F22:H22"/>
    <mergeCell ref="C98:E98"/>
    <mergeCell ref="F98:H98"/>
    <mergeCell ref="B5:E5"/>
    <mergeCell ref="B12:E12"/>
  </mergeCells>
  <dataValidations disablePrompts="1" count="3">
    <dataValidation type="list" allowBlank="1" showInputMessage="1" showErrorMessage="1" sqref="C165">
      <formula1>"Trykpumpe, Centrifugalpumpe"</formula1>
    </dataValidation>
    <dataValidation type="list" allowBlank="1" showInputMessage="1" showErrorMessage="1" sqref="G331">
      <formula1>$G$327:$G$328</formula1>
    </dataValidation>
    <dataValidation type="list" allowBlank="1" showInputMessage="1" showErrorMessage="1" sqref="C262:D262">
      <formula1>"Ja,Nej"</formula1>
    </dataValidation>
  </dataValidations>
  <hyperlinks>
    <hyperlink ref="C2" r:id="rId1"/>
  </hyperlinks>
  <pageMargins left="0.70866141732283472" right="0.70866141732283472" top="0.74803149606299213" bottom="0.74803149606299213" header="0.31496062992125984" footer="0.31496062992125984"/>
  <pageSetup paperSize="9" scale="62" orientation="landscape" r:id="rId2"/>
  <headerFooter>
    <oddHeader>&amp;L&amp;A&amp;R&amp;F</oddHeader>
    <oddFooter>&amp;L&amp;D&amp;R&amp;P af  &amp;N</oddFooter>
  </headerFooter>
  <rowBreaks count="2" manualBreakCount="2">
    <brk id="158" max="16383" man="1"/>
    <brk id="213"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39"/>
  <sheetViews>
    <sheetView topLeftCell="A7" workbookViewId="0">
      <selection activeCell="C40" sqref="C40"/>
    </sheetView>
  </sheetViews>
  <sheetFormatPr defaultRowHeight="12.75" x14ac:dyDescent="0.2"/>
  <cols>
    <col min="2" max="2" width="39.5703125" bestFit="1" customWidth="1"/>
    <col min="3" max="9" width="15.7109375" customWidth="1"/>
  </cols>
  <sheetData>
    <row r="4" spans="2:9" x14ac:dyDescent="0.2">
      <c r="B4" s="26" t="s">
        <v>197</v>
      </c>
    </row>
    <row r="5" spans="2:9" x14ac:dyDescent="0.2">
      <c r="B5" s="26" t="s">
        <v>210</v>
      </c>
    </row>
    <row r="8" spans="2:9" ht="51" x14ac:dyDescent="0.2">
      <c r="B8" s="94"/>
      <c r="C8" s="95" t="s">
        <v>53</v>
      </c>
      <c r="D8" s="95" t="s">
        <v>118</v>
      </c>
      <c r="E8" s="96" t="s">
        <v>35</v>
      </c>
      <c r="F8" s="95" t="s">
        <v>285</v>
      </c>
      <c r="G8" s="95" t="s">
        <v>284</v>
      </c>
      <c r="H8" s="95" t="s">
        <v>286</v>
      </c>
      <c r="I8" s="95" t="s">
        <v>120</v>
      </c>
    </row>
    <row r="9" spans="2:9" x14ac:dyDescent="0.2">
      <c r="B9" s="94" t="s">
        <v>39</v>
      </c>
      <c r="C9" s="97">
        <v>1</v>
      </c>
      <c r="D9" s="98" t="s">
        <v>4</v>
      </c>
      <c r="E9" s="99">
        <v>12</v>
      </c>
      <c r="F9" s="98">
        <v>1.7015928060900647</v>
      </c>
      <c r="G9" s="94"/>
      <c r="H9" s="94"/>
      <c r="I9" s="94"/>
    </row>
    <row r="10" spans="2:9" x14ac:dyDescent="0.2">
      <c r="B10" s="94" t="s">
        <v>39</v>
      </c>
      <c r="C10" s="97">
        <v>1</v>
      </c>
      <c r="D10" s="98"/>
      <c r="E10" s="99">
        <v>19</v>
      </c>
      <c r="F10" s="98">
        <v>1.9365288468445934</v>
      </c>
      <c r="G10" s="94"/>
      <c r="H10" s="94"/>
      <c r="I10" s="94"/>
    </row>
    <row r="11" spans="2:9" x14ac:dyDescent="0.2">
      <c r="B11" s="94" t="s">
        <v>39</v>
      </c>
      <c r="C11" s="97">
        <v>1</v>
      </c>
      <c r="D11" s="98"/>
      <c r="E11" s="99">
        <v>26</v>
      </c>
      <c r="F11" s="98">
        <v>1.8956957584829253</v>
      </c>
      <c r="G11" s="94"/>
      <c r="H11" s="94"/>
      <c r="I11" s="94"/>
    </row>
    <row r="12" spans="2:9" x14ac:dyDescent="0.2">
      <c r="B12" s="94" t="s">
        <v>41</v>
      </c>
      <c r="C12" s="97">
        <v>1</v>
      </c>
      <c r="D12" s="94"/>
      <c r="E12" s="100" t="s">
        <v>48</v>
      </c>
      <c r="F12" s="98">
        <v>1.5161093008677182</v>
      </c>
      <c r="G12" s="94"/>
      <c r="H12" s="94"/>
      <c r="I12" s="94"/>
    </row>
    <row r="13" spans="2:9" x14ac:dyDescent="0.2">
      <c r="B13" s="94" t="s">
        <v>41</v>
      </c>
      <c r="C13" s="97">
        <v>1</v>
      </c>
      <c r="D13" s="94"/>
      <c r="E13" s="99" t="s">
        <v>33</v>
      </c>
      <c r="F13" s="98">
        <v>1.8933195133554621</v>
      </c>
      <c r="G13" s="94"/>
      <c r="H13" s="94"/>
      <c r="I13" s="94"/>
    </row>
    <row r="14" spans="2:9" x14ac:dyDescent="0.2">
      <c r="B14" s="94" t="s">
        <v>38</v>
      </c>
      <c r="C14" s="94" t="s">
        <v>21</v>
      </c>
      <c r="D14" s="98">
        <v>0.52000000000000046</v>
      </c>
      <c r="E14" s="99">
        <v>21</v>
      </c>
      <c r="F14" s="94"/>
      <c r="G14" s="98">
        <v>1.3601219341463402</v>
      </c>
      <c r="H14" s="94"/>
      <c r="I14" s="101" t="s">
        <v>20</v>
      </c>
    </row>
    <row r="15" spans="2:9" x14ac:dyDescent="0.2">
      <c r="B15" s="102" t="s">
        <v>119</v>
      </c>
      <c r="C15" s="94" t="s">
        <v>21</v>
      </c>
      <c r="D15" s="98">
        <v>1.1799999999999997</v>
      </c>
      <c r="E15" s="99">
        <v>21</v>
      </c>
      <c r="F15" s="94"/>
      <c r="G15" s="98">
        <v>1.9034970153369166</v>
      </c>
      <c r="H15" s="94"/>
      <c r="I15" s="99" t="s">
        <v>36</v>
      </c>
    </row>
    <row r="16" spans="2:9" x14ac:dyDescent="0.2">
      <c r="B16" s="94" t="s">
        <v>47</v>
      </c>
      <c r="C16" s="94" t="s">
        <v>21</v>
      </c>
      <c r="D16" s="98">
        <v>0.90999999999999925</v>
      </c>
      <c r="E16" s="99">
        <v>21</v>
      </c>
      <c r="F16" s="94"/>
      <c r="G16" s="98">
        <v>1.474817308336297</v>
      </c>
      <c r="H16" s="94"/>
      <c r="I16" s="99">
        <v>-4.2</v>
      </c>
    </row>
    <row r="17" spans="2:9" x14ac:dyDescent="0.2">
      <c r="B17" s="116" t="s">
        <v>42</v>
      </c>
      <c r="C17" s="116" t="s">
        <v>21</v>
      </c>
      <c r="D17" s="117">
        <v>0.94</v>
      </c>
      <c r="E17" s="118">
        <v>28</v>
      </c>
      <c r="F17" s="116"/>
      <c r="G17" s="117">
        <v>1.1534244184679607</v>
      </c>
      <c r="H17" s="116"/>
      <c r="I17" s="118">
        <v>-2.7</v>
      </c>
    </row>
    <row r="18" spans="2:9" x14ac:dyDescent="0.2">
      <c r="B18" s="94" t="s">
        <v>49</v>
      </c>
      <c r="C18" s="94" t="s">
        <v>21</v>
      </c>
      <c r="D18" s="98">
        <v>0.86000000000000032</v>
      </c>
      <c r="E18" s="99">
        <v>28</v>
      </c>
      <c r="F18" s="94"/>
      <c r="G18" s="98">
        <v>0.74773140499149149</v>
      </c>
      <c r="H18" s="94"/>
      <c r="I18" s="103">
        <v>-2.7027027027026973</v>
      </c>
    </row>
    <row r="19" spans="2:9" x14ac:dyDescent="0.2">
      <c r="B19" s="94" t="s">
        <v>50</v>
      </c>
      <c r="C19" s="94" t="s">
        <v>21</v>
      </c>
      <c r="D19" s="98">
        <v>0.87999999999999989</v>
      </c>
      <c r="E19" s="99">
        <v>28</v>
      </c>
      <c r="F19" s="94"/>
      <c r="G19" s="98">
        <v>1.5009743436807097</v>
      </c>
      <c r="H19" s="94"/>
      <c r="I19" s="103">
        <v>-3.6036036036036001</v>
      </c>
    </row>
    <row r="20" spans="2:9" x14ac:dyDescent="0.2">
      <c r="B20" s="94" t="s">
        <v>51</v>
      </c>
      <c r="C20" s="94" t="s">
        <v>21</v>
      </c>
      <c r="D20" s="98">
        <v>1.79</v>
      </c>
      <c r="E20" s="99">
        <v>28</v>
      </c>
      <c r="F20" s="94"/>
      <c r="G20" s="98">
        <v>0.80587449325521177</v>
      </c>
      <c r="H20" s="94"/>
      <c r="I20" s="103">
        <v>-2.663164732130241</v>
      </c>
    </row>
    <row r="21" spans="2:9" x14ac:dyDescent="0.2">
      <c r="B21" s="94" t="s">
        <v>52</v>
      </c>
      <c r="C21" s="94" t="s">
        <v>21</v>
      </c>
      <c r="D21" s="98">
        <v>1.0000000000000009</v>
      </c>
      <c r="E21" s="99">
        <v>28</v>
      </c>
      <c r="F21" s="94"/>
      <c r="G21" s="98">
        <v>1.6163123721951207</v>
      </c>
      <c r="H21" s="94"/>
      <c r="I21" s="103">
        <v>3.2760032760037472E-2</v>
      </c>
    </row>
    <row r="22" spans="2:9" x14ac:dyDescent="0.2">
      <c r="B22" s="94" t="s">
        <v>40</v>
      </c>
      <c r="C22" s="97" t="s">
        <v>20</v>
      </c>
      <c r="D22" s="98"/>
      <c r="E22" s="99">
        <v>4</v>
      </c>
      <c r="F22" s="94"/>
      <c r="G22" s="98"/>
      <c r="H22" s="98">
        <v>1.6542363652803265</v>
      </c>
      <c r="I22" s="94"/>
    </row>
    <row r="23" spans="2:9" x14ac:dyDescent="0.2">
      <c r="B23" s="94" t="s">
        <v>40</v>
      </c>
      <c r="C23" s="97" t="s">
        <v>20</v>
      </c>
      <c r="D23" s="98"/>
      <c r="E23" s="99">
        <v>10</v>
      </c>
      <c r="F23" s="94"/>
      <c r="G23" s="98"/>
      <c r="H23" s="98">
        <v>2.0087399341844145</v>
      </c>
      <c r="I23" s="94"/>
    </row>
    <row r="24" spans="2:9" x14ac:dyDescent="0.2">
      <c r="B24" s="94" t="s">
        <v>40</v>
      </c>
      <c r="C24" s="97" t="s">
        <v>20</v>
      </c>
      <c r="D24" s="98"/>
      <c r="E24" s="99">
        <v>17</v>
      </c>
      <c r="F24" s="94"/>
      <c r="G24" s="98"/>
      <c r="H24" s="98">
        <v>2.203079797032236</v>
      </c>
      <c r="I24" s="94"/>
    </row>
    <row r="25" spans="2:9" x14ac:dyDescent="0.2">
      <c r="B25" s="94" t="s">
        <v>43</v>
      </c>
      <c r="C25" s="97" t="s">
        <v>20</v>
      </c>
      <c r="D25" s="98"/>
      <c r="E25" s="99">
        <v>22</v>
      </c>
      <c r="F25" s="94"/>
      <c r="G25" s="98"/>
      <c r="H25" s="98">
        <v>1.671130377184834</v>
      </c>
      <c r="I25" s="94"/>
    </row>
    <row r="26" spans="2:9" x14ac:dyDescent="0.2">
      <c r="B26" s="94" t="s">
        <v>45</v>
      </c>
      <c r="C26" s="97" t="s">
        <v>20</v>
      </c>
      <c r="D26" s="98"/>
      <c r="E26" s="99">
        <v>22</v>
      </c>
      <c r="F26" s="94"/>
      <c r="G26" s="98"/>
      <c r="H26" s="98">
        <v>1.5569153314283424</v>
      </c>
      <c r="I26" s="94"/>
    </row>
    <row r="27" spans="2:9" x14ac:dyDescent="0.2">
      <c r="B27" s="94" t="s">
        <v>46</v>
      </c>
      <c r="C27" s="97" t="s">
        <v>20</v>
      </c>
      <c r="D27" s="98"/>
      <c r="E27" s="99">
        <v>22</v>
      </c>
      <c r="F27" s="94"/>
      <c r="G27" s="98"/>
      <c r="H27" s="98">
        <v>1.6358917119620011</v>
      </c>
      <c r="I27" s="94"/>
    </row>
    <row r="28" spans="2:9" x14ac:dyDescent="0.2">
      <c r="B28" s="94" t="s">
        <v>41</v>
      </c>
      <c r="C28" s="94" t="s">
        <v>20</v>
      </c>
      <c r="D28" s="94"/>
      <c r="E28" s="100" t="s">
        <v>48</v>
      </c>
      <c r="F28" s="94"/>
      <c r="G28" s="94"/>
      <c r="H28" s="98">
        <v>1.9857894461853447</v>
      </c>
      <c r="I28" s="94"/>
    </row>
    <row r="29" spans="2:9" x14ac:dyDescent="0.2">
      <c r="B29" s="94" t="s">
        <v>41</v>
      </c>
      <c r="C29" s="94" t="s">
        <v>20</v>
      </c>
      <c r="D29" s="94"/>
      <c r="E29" s="99" t="s">
        <v>33</v>
      </c>
      <c r="F29" s="94"/>
      <c r="G29" s="94"/>
      <c r="H29" s="98">
        <v>1.8933195133554621</v>
      </c>
      <c r="I29" s="94"/>
    </row>
    <row r="32" spans="2:9" x14ac:dyDescent="0.2">
      <c r="B32" s="256" t="s">
        <v>226</v>
      </c>
      <c r="C32" s="256"/>
      <c r="D32" s="256"/>
      <c r="E32" s="256"/>
      <c r="F32" s="256"/>
      <c r="G32" s="256"/>
      <c r="H32" s="256"/>
      <c r="I32" s="256"/>
    </row>
    <row r="33" spans="2:9" x14ac:dyDescent="0.2">
      <c r="B33" s="256"/>
      <c r="C33" s="256"/>
      <c r="D33" s="256"/>
      <c r="E33" s="256"/>
      <c r="F33" s="256"/>
      <c r="G33" s="256"/>
      <c r="H33" s="256"/>
      <c r="I33" s="256"/>
    </row>
    <row r="34" spans="2:9" x14ac:dyDescent="0.2">
      <c r="B34" s="256"/>
      <c r="C34" s="256"/>
      <c r="D34" s="256"/>
      <c r="E34" s="256"/>
      <c r="F34" s="256"/>
      <c r="G34" s="256"/>
      <c r="H34" s="256"/>
      <c r="I34" s="256"/>
    </row>
    <row r="35" spans="2:9" x14ac:dyDescent="0.2">
      <c r="B35" s="256"/>
      <c r="C35" s="256"/>
      <c r="D35" s="256"/>
      <c r="E35" s="256"/>
      <c r="F35" s="256"/>
      <c r="G35" s="256"/>
      <c r="H35" s="256"/>
      <c r="I35" s="256"/>
    </row>
    <row r="36" spans="2:9" x14ac:dyDescent="0.2">
      <c r="B36" s="256"/>
      <c r="C36" s="256"/>
      <c r="D36" s="256"/>
      <c r="E36" s="256"/>
      <c r="F36" s="256"/>
      <c r="G36" s="256"/>
      <c r="H36" s="256"/>
      <c r="I36" s="256"/>
    </row>
    <row r="39" spans="2:9" x14ac:dyDescent="0.2">
      <c r="B39" s="26" t="s">
        <v>4</v>
      </c>
    </row>
  </sheetData>
  <autoFilter ref="B8:I29">
    <sortState ref="B9:I29">
      <sortCondition ref="C8:C29"/>
    </sortState>
  </autoFilter>
  <mergeCells count="1">
    <mergeCell ref="B32:I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xcel" ma:contentTypeID="0x01010039AECF0C0DF042669F1227F4A133879E0100FE8714B48644A7429FF1412EF2784C96" ma:contentTypeVersion="13" ma:contentTypeDescription="" ma:contentTypeScope="" ma:versionID="de4ebf4f06c0e67b62e6c0961cc1783b">
  <xsd:schema xmlns:xsd="http://www.w3.org/2001/XMLSchema" xmlns:xs="http://www.w3.org/2001/XMLSchema" xmlns:p="http://schemas.microsoft.com/office/2006/metadata/properties" xmlns:ns3="fd362e32-a8bb-4bb4-8f82-5825471a62d7" xmlns:ns4="95205d42-89eb-43c3-ae46-3fd3b7e1c958" targetNamespace="http://schemas.microsoft.com/office/2006/metadata/properties" ma:root="true" ma:fieldsID="6fddad581de39c05f7981623039fc6b3" ns3:_="" ns4:_="">
    <xsd:import namespace="fd362e32-a8bb-4bb4-8f82-5825471a62d7"/>
    <xsd:import namespace="95205d42-89eb-43c3-ae46-3fd3b7e1c958"/>
    <xsd:element name="properties">
      <xsd:complexType>
        <xsd:sequence>
          <xsd:element name="documentManagement">
            <xsd:complexType>
              <xsd:all>
                <xsd:element ref="ns3:DocuWise.Ended" minOccurs="0"/>
                <xsd:element ref="ns3:DocuWise.Received" minOccurs="0"/>
                <xsd:element ref="ns3:DocuWise.Company" minOccurs="0"/>
                <xsd:element ref="ns3:DocuWise.CompanyText" minOccurs="0"/>
                <xsd:element ref="ns3:DocuWise.Type" minOccurs="0"/>
                <xsd:element ref="ns3:DocuWise.Person" minOccurs="0"/>
                <xsd:element ref="ns3:DocuWise.PersonText" minOccurs="0"/>
                <xsd:element ref="ns3:DocuWise.Project" minOccurs="0"/>
                <xsd:element ref="ns3:DocuWise.JobDescription" minOccurs="0"/>
                <xsd:element ref="ns3:DocuWise.Language" minOccurs="0"/>
                <xsd:element ref="ns3:DocuWise.CHRNumber" minOccurs="0"/>
                <xsd:element ref="ns3:DocuWise.TestNumber" minOccurs="0"/>
                <xsd:element ref="ns3:Docuwise.Number" minOccurs="0"/>
                <xsd:element ref="ns3:DocuWise.CaseWorker" minOccurs="0"/>
                <xsd:element ref="ns3:DocuWise.Legacy.CreatedByName" minOccurs="0"/>
                <xsd:element ref="ns3:DocuWise.Legacy.CreatedByEmail" minOccurs="0"/>
                <xsd:element ref="ns3:DocuWise.Legacy.CaseWorkerName" minOccurs="0"/>
                <xsd:element ref="ns3:DocuWise.Legacy.CaseWorkerEmail" minOccurs="0"/>
                <xsd:element ref="ns3:DocuWise.Legacy.Department"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62e32-a8bb-4bb4-8f82-5825471a62d7" elementFormDefault="qualified">
    <xsd:import namespace="http://schemas.microsoft.com/office/2006/documentManagement/types"/>
    <xsd:import namespace="http://schemas.microsoft.com/office/infopath/2007/PartnerControls"/>
    <xsd:element name="DocuWise.Ended" ma:index="9" nillable="true" ma:displayName="Afsluttet" ma:default="0" ma:internalName="Docuwise_x002e_Ended">
      <xsd:simpleType>
        <xsd:restriction base="dms:Boolean"/>
      </xsd:simpleType>
    </xsd:element>
    <xsd:element name="DocuWise.Received" ma:index="10" nillable="true" ma:displayName="Modtaget" ma:default="0" ma:internalName="Docuwise_x002e_Received">
      <xsd:simpleType>
        <xsd:restriction base="dms:Boolean"/>
      </xsd:simpleType>
    </xsd:element>
    <xsd:element name="DocuWise.Company" ma:index="11" nillable="true" ma:displayName="Firma" ma:internalName="Docuwise_x002e_Company">
      <xsd:simpleType>
        <xsd:restriction base="dms:Text">
          <xsd:maxLength value="255"/>
        </xsd:restriction>
      </xsd:simpleType>
    </xsd:element>
    <xsd:element name="DocuWise.CompanyText" ma:index="12" nillable="true" ma:displayName="Firma tekst" ma:internalName="Docuwise_x002e_CompanyText">
      <xsd:simpleType>
        <xsd:restriction base="dms:Text">
          <xsd:maxLength value="255"/>
        </xsd:restriction>
      </xsd:simpleType>
    </xsd:element>
    <xsd:element name="DocuWise.Type" ma:index="13" nillable="true" ma:displayName="Type" ma:internalName="Docuwise_x002e_Type">
      <xsd:simpleType>
        <xsd:restriction base="dms:Text">
          <xsd:maxLength value="255"/>
        </xsd:restriction>
      </xsd:simpleType>
    </xsd:element>
    <xsd:element name="DocuWise.Person" ma:index="14" nillable="true" ma:displayName="Person" ma:internalName="Docuwise_x002e_Person">
      <xsd:simpleType>
        <xsd:restriction base="dms:Text">
          <xsd:maxLength value="255"/>
        </xsd:restriction>
      </xsd:simpleType>
    </xsd:element>
    <xsd:element name="DocuWise.PersonText" ma:index="15" nillable="true" ma:displayName="Person tekst" ma:internalName="Docuwise_x002e_PersonText">
      <xsd:simpleType>
        <xsd:restriction base="dms:Text">
          <xsd:maxLength value="255"/>
        </xsd:restriction>
      </xsd:simpleType>
    </xsd:element>
    <xsd:element name="DocuWise.Project" ma:index="16" nillable="true" ma:displayName="Projekt" ma:internalName="DocuWise_x002e_Project">
      <xsd:simpleType>
        <xsd:restriction base="dms:Text">
          <xsd:maxLength value="255"/>
        </xsd:restriction>
      </xsd:simpleType>
    </xsd:element>
    <xsd:element name="DocuWise.JobDescription" ma:index="17" nillable="true" ma:displayName="Job beskrivelse" ma:internalName="DocuWise_x002e_JobDescription">
      <xsd:simpleType>
        <xsd:restriction base="dms:Text">
          <xsd:maxLength value="255"/>
        </xsd:restriction>
      </xsd:simpleType>
    </xsd:element>
    <xsd:element name="DocuWise.Language" ma:index="18" nillable="true" ma:displayName="Sprog" ma:internalName="DocuWise_x002e_Language">
      <xsd:simpleType>
        <xsd:restriction base="dms:Text">
          <xsd:maxLength value="255"/>
        </xsd:restriction>
      </xsd:simpleType>
    </xsd:element>
    <xsd:element name="DocuWise.CHRNumber" ma:index="19" nillable="true" ma:displayName="CHR nummer" ma:internalName="DocuWise_x002e_CHRNumber">
      <xsd:simpleType>
        <xsd:restriction base="dms:Text">
          <xsd:maxLength value="255"/>
        </xsd:restriction>
      </xsd:simpleType>
    </xsd:element>
    <xsd:element name="DocuWise.TestNumber" ma:index="20" nillable="true" ma:displayName="Afprøvningsnummer" ma:internalName="DocuWise_x002e_TestNumber">
      <xsd:simpleType>
        <xsd:restriction base="dms:Text">
          <xsd:maxLength value="255"/>
        </xsd:restriction>
      </xsd:simpleType>
    </xsd:element>
    <xsd:element name="Docuwise.Number" ma:index="21" nillable="true" ma:displayName="Number" ma:decimals="0" ma:internalName="DocuWise_x002e_Number" ma:readOnly="false" ma:percentage="FALSE">
      <xsd:simpleType>
        <xsd:restriction base="dms:Number"/>
      </xsd:simpleType>
    </xsd:element>
    <xsd:element name="DocuWise.CaseWorker" ma:index="22" nillable="true" ma:displayName="Sagsbehandler" ma:list="UserInfo" ma:internalName="DocuWise_x002e_CaseWorker"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Wise.Legacy.CreatedByName" ma:index="23" nillable="true" ma:displayName="DW Oprettet af navn" ma:internalName="Docuwise_x002e_Legacy_x002e_CreatedByName">
      <xsd:simpleType>
        <xsd:restriction base="dms:Text">
          <xsd:maxLength value="255"/>
        </xsd:restriction>
      </xsd:simpleType>
    </xsd:element>
    <xsd:element name="DocuWise.Legacy.CreatedByEmail" ma:index="24" nillable="true" ma:displayName="DW Oprettet af emailadresse" ma:internalName="Docuwise_x002e_Legacy_x002e_CreatedByEmail">
      <xsd:simpleType>
        <xsd:restriction base="dms:Text">
          <xsd:maxLength value="255"/>
        </xsd:restriction>
      </xsd:simpleType>
    </xsd:element>
    <xsd:element name="DocuWise.Legacy.CaseWorkerName" ma:index="25" nillable="true" ma:displayName="DW Sagsbehandler navn" ma:internalName="Docuwise_x002e_Legacy_x002e_CaseWorkerName">
      <xsd:simpleType>
        <xsd:restriction base="dms:Text">
          <xsd:maxLength value="255"/>
        </xsd:restriction>
      </xsd:simpleType>
    </xsd:element>
    <xsd:element name="DocuWise.Legacy.CaseWorkerEmail" ma:index="26" nillable="true" ma:displayName="DW Sagsbehandler emailadresse" ma:internalName="Docuwise_x002e_Legacy_x002e_CaseWorkerEmail">
      <xsd:simpleType>
        <xsd:restriction base="dms:Text">
          <xsd:maxLength value="255"/>
        </xsd:restriction>
      </xsd:simpleType>
    </xsd:element>
    <xsd:element name="DocuWise.Legacy.Department" ma:index="27" nillable="true" ma:displayName="DW Afdeling" ma:internalName="Docuwise_x002e_Legacy_x002e_Depart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205d42-89eb-43c3-ae46-3fd3b7e1c958" elementFormDefault="qualified">
    <xsd:import namespace="http://schemas.microsoft.com/office/2006/documentManagement/types"/>
    <xsd:import namespace="http://schemas.microsoft.com/office/infopath/2007/PartnerControls"/>
    <xsd:element name="_dlc_DocId" ma:index="28" nillable="true" ma:displayName="Værdi for dokument-id" ma:description="Værdien af det dokument-id, der er tildelt dette element." ma:internalName="_dlc_DocId" ma:readOnly="true">
      <xsd:simpleType>
        <xsd:restriction base="dms:Text"/>
      </xsd:simpleType>
    </xsd:element>
    <xsd:element name="_dlc_DocIdUrl" ma:index="2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ma:index="8" ma:displayName="Emne"/>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5205d42-89eb-43c3-ae46-3fd3b7e1c958">LFID-111-43829</_dlc_DocId>
    <_dlc_DocIdUrl xmlns="95205d42-89eb-43c3-ae46-3fd3b7e1c958">
      <Url>http://lf-dokumenter/vsp/raad/_layouts/DocIdRedir.aspx?ID=LFID-111-43829</Url>
      <Description>LFID-111-43829</Description>
    </_dlc_DocIdUrl>
    <DocuWise.Received xmlns="fd362e32-a8bb-4bb4-8f82-5825471a62d7">false</DocuWise.Received>
    <DocuWise.CaseWorker xmlns="fd362e32-a8bb-4bb4-8f82-5825471a62d7">
      <UserInfo>
        <DisplayName/>
        <AccountId xsi:nil="true"/>
        <AccountType/>
      </UserInfo>
    </DocuWise.CaseWorker>
    <DocuWise.Company xmlns="fd362e32-a8bb-4bb4-8f82-5825471a62d7" xsi:nil="true"/>
    <DocuWise.PersonText xmlns="fd362e32-a8bb-4bb4-8f82-5825471a62d7" xsi:nil="true"/>
    <Docuwise.Number xmlns="fd362e32-a8bb-4bb4-8f82-5825471a62d7" xsi:nil="true"/>
    <DocuWise.Type xmlns="fd362e32-a8bb-4bb4-8f82-5825471a62d7" xsi:nil="true"/>
    <DocuWise.Person xmlns="fd362e32-a8bb-4bb4-8f82-5825471a62d7" xsi:nil="true"/>
    <DocuWise.Ended xmlns="fd362e32-a8bb-4bb4-8f82-5825471a62d7">false</DocuWise.Ended>
    <DocuWise.CHRNumber xmlns="fd362e32-a8bb-4bb4-8f82-5825471a62d7" xsi:nil="true"/>
    <DocuWise.Legacy.CaseWorkerName xmlns="fd362e32-a8bb-4bb4-8f82-5825471a62d7" xsi:nil="true"/>
    <DocuWise.JobDescription xmlns="fd362e32-a8bb-4bb4-8f82-5825471a62d7" xsi:nil="true"/>
    <DocuWise.Legacy.Department xmlns="fd362e32-a8bb-4bb4-8f82-5825471a62d7" xsi:nil="true"/>
    <DocuWise.Project xmlns="fd362e32-a8bb-4bb4-8f82-5825471a62d7" xsi:nil="true"/>
    <DocuWise.Language xmlns="fd362e32-a8bb-4bb4-8f82-5825471a62d7" xsi:nil="true"/>
    <DocuWise.Legacy.CreatedByName xmlns="fd362e32-a8bb-4bb4-8f82-5825471a62d7" xsi:nil="true"/>
    <DocuWise.Legacy.CreatedByEmail xmlns="fd362e32-a8bb-4bb4-8f82-5825471a62d7" xsi:nil="true"/>
    <DocuWise.CompanyText xmlns="fd362e32-a8bb-4bb4-8f82-5825471a62d7" xsi:nil="true"/>
    <DocuWise.Legacy.CaseWorkerEmail xmlns="fd362e32-a8bb-4bb4-8f82-5825471a62d7" xsi:nil="true"/>
    <DocuWise.TestNumber xmlns="fd362e32-a8bb-4bb4-8f82-5825471a62d7" xsi:nil="true"/>
  </documentManagement>
</p:properties>
</file>

<file path=customXml/itemProps1.xml><?xml version="1.0" encoding="utf-8"?>
<ds:datastoreItem xmlns:ds="http://schemas.openxmlformats.org/officeDocument/2006/customXml" ds:itemID="{D69622F3-4593-4E52-9015-CD3BD6EBCE69}">
  <ds:schemaRefs>
    <ds:schemaRef ds:uri="http://schemas.microsoft.com/sharepoint/events"/>
  </ds:schemaRefs>
</ds:datastoreItem>
</file>

<file path=customXml/itemProps2.xml><?xml version="1.0" encoding="utf-8"?>
<ds:datastoreItem xmlns:ds="http://schemas.openxmlformats.org/officeDocument/2006/customXml" ds:itemID="{B5279D89-B5D3-40D4-A188-6AE1051CB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362e32-a8bb-4bb4-8f82-5825471a62d7"/>
    <ds:schemaRef ds:uri="95205d42-89eb-43c3-ae46-3fd3b7e1c9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238320-1E28-42E5-B859-AEA141A862B7}">
  <ds:schemaRefs>
    <ds:schemaRef ds:uri="http://schemas.microsoft.com/sharepoint/v3/contenttype/forms"/>
  </ds:schemaRefs>
</ds:datastoreItem>
</file>

<file path=customXml/itemProps4.xml><?xml version="1.0" encoding="utf-8"?>
<ds:datastoreItem xmlns:ds="http://schemas.openxmlformats.org/officeDocument/2006/customXml" ds:itemID="{5F0FE091-A3E2-419D-A135-86D46A33E014}">
  <ds:schemaRefs>
    <ds:schemaRef ds:uri="http://schemas.microsoft.com/office/2006/metadata/properties"/>
    <ds:schemaRef ds:uri="http://purl.org/dc/elements/1.1/"/>
    <ds:schemaRef ds:uri="95205d42-89eb-43c3-ae46-3fd3b7e1c958"/>
    <ds:schemaRef ds:uri="fd362e32-a8bb-4bb4-8f82-5825471a62d7"/>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Beregnet smågrisenotering</vt:lpstr>
      <vt:lpstr>Kalkuler Mælkekopper</vt:lpstr>
      <vt:lpstr>Litteratur studier</vt:lpstr>
      <vt:lpstr>'Kalkuler Mælkekopper'!Udskriftsområde</vt:lpstr>
    </vt:vector>
  </TitlesOfParts>
  <Company>Servicecenter Axelborg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Groes Christiansen</dc:creator>
  <cp:lastModifiedBy>Dorthe Sigrúnsdóttir Jensen</cp:lastModifiedBy>
  <cp:lastPrinted>2017-04-05T09:42:22Z</cp:lastPrinted>
  <dcterms:created xsi:type="dcterms:W3CDTF">2010-09-15T06:39:18Z</dcterms:created>
  <dcterms:modified xsi:type="dcterms:W3CDTF">2017-04-19T08:43:25Z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0x01010039AECF0C0DF042669F1227F4A133879E0100FE8714B48644A7429FF1412EF2784C96</vt:lpwstr>
  </property>
  <property fmtid="{D5CDD505-2E9C-101B-9397-08002B2CF9AE}" pid="3" name="_dlc_DocIdItemGuid">
    <vt:lpwstr>c41519c9-452a-4d5c-9792-18fcca00e450</vt:lpwstr>
  </property>
</Properties>
</file>