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156" windowWidth="23256" windowHeight="12072"/>
  </bookViews>
  <sheets>
    <sheet name="harmoni, inddatering + udskrift" sheetId="3" r:id="rId1"/>
    <sheet name="beregninger med detaljer" sheetId="2" r:id="rId2"/>
  </sheets>
  <definedNames>
    <definedName name="_AMO_UniqueIdentifier" hidden="1">"'8a5d4dae-9e7c-4a21-8490-5c6d2a496a88'"</definedName>
  </definedNames>
  <calcPr calcId="171027"/>
</workbook>
</file>

<file path=xl/calcChain.xml><?xml version="1.0" encoding="utf-8"?>
<calcChain xmlns="http://schemas.openxmlformats.org/spreadsheetml/2006/main">
  <c r="H47" i="2" l="1"/>
  <c r="E30" i="3" l="1"/>
  <c r="K11" i="2" l="1"/>
  <c r="J11" i="2"/>
  <c r="H11" i="2"/>
  <c r="J10" i="2"/>
  <c r="C6" i="2"/>
  <c r="D6" i="2"/>
  <c r="E6" i="2"/>
  <c r="F6" i="2"/>
  <c r="G6" i="2"/>
  <c r="G23" i="3"/>
  <c r="M20" i="3" l="1"/>
  <c r="M19" i="3"/>
  <c r="M18" i="3" l="1"/>
  <c r="M21" i="3"/>
  <c r="M16" i="3"/>
  <c r="M12" i="3"/>
  <c r="M13" i="3"/>
  <c r="M14" i="3"/>
  <c r="M17" i="3"/>
  <c r="G48" i="3"/>
  <c r="G49" i="3"/>
  <c r="G50" i="3"/>
  <c r="G51" i="3"/>
  <c r="G52" i="3"/>
  <c r="G47" i="3"/>
  <c r="G42" i="3"/>
  <c r="G43" i="3"/>
  <c r="G44" i="3"/>
  <c r="G41" i="3"/>
  <c r="G31" i="3"/>
  <c r="G32" i="3"/>
  <c r="G33" i="3"/>
  <c r="G34" i="3"/>
  <c r="G35" i="3"/>
  <c r="G36" i="3"/>
  <c r="G37" i="3"/>
  <c r="G29" i="3"/>
  <c r="G28" i="3"/>
  <c r="I48" i="3"/>
  <c r="I49" i="3"/>
  <c r="I50" i="3"/>
  <c r="I51" i="3"/>
  <c r="I52" i="3"/>
  <c r="I47" i="3"/>
  <c r="I29" i="3"/>
  <c r="I28" i="3"/>
  <c r="I42" i="3"/>
  <c r="I43" i="3"/>
  <c r="I44" i="3"/>
  <c r="I41" i="3"/>
  <c r="I32" i="3"/>
  <c r="I33" i="3"/>
  <c r="I34" i="3"/>
  <c r="I35" i="3"/>
  <c r="I36" i="3"/>
  <c r="I37" i="3"/>
  <c r="I31" i="3"/>
  <c r="E35" i="2" l="1"/>
  <c r="E36" i="2"/>
  <c r="E37" i="2"/>
  <c r="E38" i="2"/>
  <c r="E39" i="2"/>
  <c r="E34" i="2"/>
  <c r="E30" i="2"/>
  <c r="E31" i="2"/>
  <c r="E32" i="2"/>
  <c r="E29" i="2"/>
  <c r="E22" i="2"/>
  <c r="E23" i="2"/>
  <c r="E24" i="2"/>
  <c r="E25" i="2"/>
  <c r="E26" i="2"/>
  <c r="E27" i="2"/>
  <c r="E21" i="2"/>
  <c r="E19" i="2"/>
  <c r="E18" i="2"/>
  <c r="T8" i="2"/>
  <c r="T6" i="2"/>
  <c r="D12" i="2"/>
  <c r="E12" i="2"/>
  <c r="F12" i="2"/>
  <c r="G12" i="2"/>
  <c r="C12" i="2"/>
  <c r="D10" i="2"/>
  <c r="E10" i="2"/>
  <c r="F10" i="2"/>
  <c r="G10" i="2"/>
  <c r="C10" i="2"/>
  <c r="H10" i="2" s="1"/>
  <c r="J29" i="3"/>
  <c r="J12" i="2" l="1"/>
  <c r="J13" i="2" s="1"/>
  <c r="H12" i="2"/>
  <c r="H13" i="2" s="1"/>
  <c r="E53" i="3"/>
  <c r="E45" i="3"/>
  <c r="E38" i="3"/>
  <c r="G39" i="3" l="1"/>
  <c r="I39" i="3"/>
  <c r="I53" i="3"/>
  <c r="G53" i="3"/>
  <c r="G45" i="3"/>
  <c r="I45" i="3"/>
  <c r="I38" i="3"/>
  <c r="G38" i="3"/>
  <c r="I30" i="3"/>
  <c r="G30" i="3"/>
  <c r="E39" i="3"/>
  <c r="T7" i="2"/>
  <c r="T9" i="2" s="1"/>
  <c r="K22" i="3" s="1"/>
  <c r="Q15" i="2"/>
  <c r="K32" i="3" s="1"/>
  <c r="E33" i="2" l="1"/>
  <c r="E40" i="2" l="1"/>
  <c r="E28" i="2"/>
  <c r="E20" i="2"/>
  <c r="K12" i="2" l="1"/>
  <c r="K13" i="2" s="1"/>
  <c r="I12" i="2"/>
  <c r="I13" i="2" s="1"/>
  <c r="K10" i="2"/>
  <c r="K6" i="2"/>
  <c r="I6" i="2"/>
  <c r="I7" i="2" s="1"/>
  <c r="I10" i="2"/>
  <c r="I11" i="2" s="1"/>
  <c r="H22" i="2"/>
  <c r="I22" i="2"/>
  <c r="H23" i="2"/>
  <c r="I23" i="2"/>
  <c r="H24" i="2"/>
  <c r="I24" i="2"/>
  <c r="H25" i="2"/>
  <c r="I25" i="2"/>
  <c r="H26" i="2"/>
  <c r="I26" i="2"/>
  <c r="H27" i="2"/>
  <c r="I27" i="2"/>
  <c r="I21" i="2"/>
  <c r="H21" i="2"/>
  <c r="I19" i="2"/>
  <c r="I18" i="2"/>
  <c r="H19" i="2"/>
  <c r="H18" i="2"/>
  <c r="J19" i="3"/>
  <c r="J17" i="3"/>
  <c r="I19" i="3"/>
  <c r="I17" i="3"/>
  <c r="K7" i="2" l="1"/>
  <c r="L13" i="3" s="1"/>
  <c r="K35" i="2"/>
  <c r="L19" i="3"/>
  <c r="L20" i="3" s="1"/>
  <c r="J34" i="2"/>
  <c r="K19" i="3"/>
  <c r="K20" i="3" s="1"/>
  <c r="K30" i="2"/>
  <c r="L17" i="3"/>
  <c r="L18" i="3" s="1"/>
  <c r="J31" i="2"/>
  <c r="K17" i="3"/>
  <c r="K18" i="3" s="1"/>
  <c r="J19" i="2"/>
  <c r="L19" i="2" s="1"/>
  <c r="F29" i="3" s="1"/>
  <c r="K13" i="3"/>
  <c r="H38" i="2"/>
  <c r="H35" i="2"/>
  <c r="H39" i="2"/>
  <c r="H36" i="2"/>
  <c r="H34" i="2"/>
  <c r="H37" i="2"/>
  <c r="I38" i="2"/>
  <c r="I35" i="2"/>
  <c r="I37" i="2"/>
  <c r="I39" i="2"/>
  <c r="I34" i="2"/>
  <c r="I36" i="2"/>
  <c r="K37" i="2"/>
  <c r="K34" i="2"/>
  <c r="K36" i="2"/>
  <c r="K38" i="2"/>
  <c r="K39" i="2"/>
  <c r="J39" i="2"/>
  <c r="J38" i="2"/>
  <c r="J37" i="2"/>
  <c r="J36" i="2"/>
  <c r="J35" i="2"/>
  <c r="J24" i="2"/>
  <c r="L24" i="2" s="1"/>
  <c r="J26" i="2"/>
  <c r="L26" i="2" s="1"/>
  <c r="J23" i="2"/>
  <c r="L23" i="2" s="1"/>
  <c r="J18" i="2"/>
  <c r="L18" i="2" s="1"/>
  <c r="F28" i="3" s="1"/>
  <c r="J21" i="2"/>
  <c r="L21" i="2" s="1"/>
  <c r="F31" i="3" s="1"/>
  <c r="J25" i="2"/>
  <c r="L25" i="2" s="1"/>
  <c r="J27" i="2"/>
  <c r="L27" i="2" s="1"/>
  <c r="F37" i="3" s="1"/>
  <c r="J22" i="2"/>
  <c r="L22" i="2" s="1"/>
  <c r="F32" i="3" s="1"/>
  <c r="H32" i="2"/>
  <c r="H31" i="2"/>
  <c r="I32" i="2"/>
  <c r="I30" i="2"/>
  <c r="I31" i="2"/>
  <c r="I29" i="2"/>
  <c r="H29" i="2"/>
  <c r="J29" i="2"/>
  <c r="H30" i="2"/>
  <c r="J32" i="2"/>
  <c r="K32" i="2"/>
  <c r="M32" i="2" s="1"/>
  <c r="K29" i="2"/>
  <c r="K31" i="2"/>
  <c r="J30" i="2"/>
  <c r="K23" i="2" l="1"/>
  <c r="M23" i="2" s="1"/>
  <c r="P23" i="2" s="1"/>
  <c r="K24" i="2"/>
  <c r="M24" i="2" s="1"/>
  <c r="H34" i="3" s="1"/>
  <c r="K22" i="2"/>
  <c r="M22" i="2" s="1"/>
  <c r="H32" i="3" s="1"/>
  <c r="K19" i="2"/>
  <c r="M19" i="2" s="1"/>
  <c r="H29" i="3" s="1"/>
  <c r="K25" i="2"/>
  <c r="M25" i="2" s="1"/>
  <c r="K26" i="2"/>
  <c r="M26" i="2" s="1"/>
  <c r="P26" i="2" s="1"/>
  <c r="K21" i="2"/>
  <c r="M21" i="2" s="1"/>
  <c r="H31" i="3" s="1"/>
  <c r="K18" i="2"/>
  <c r="M18" i="2" s="1"/>
  <c r="H28" i="3" s="1"/>
  <c r="K27" i="2"/>
  <c r="M27" i="2" s="1"/>
  <c r="H37" i="3" s="1"/>
  <c r="M38" i="2"/>
  <c r="H51" i="3" s="1"/>
  <c r="L34" i="2"/>
  <c r="F47" i="3" s="1"/>
  <c r="M35" i="2"/>
  <c r="H48" i="3" s="1"/>
  <c r="L37" i="2"/>
  <c r="F50" i="3" s="1"/>
  <c r="L38" i="2"/>
  <c r="N32" i="2"/>
  <c r="K44" i="3" s="1"/>
  <c r="H44" i="3"/>
  <c r="O25" i="2"/>
  <c r="F35" i="3"/>
  <c r="O26" i="2"/>
  <c r="F36" i="3"/>
  <c r="O24" i="2"/>
  <c r="F34" i="3"/>
  <c r="H33" i="3"/>
  <c r="F30" i="3"/>
  <c r="P25" i="2"/>
  <c r="H35" i="3"/>
  <c r="O23" i="2"/>
  <c r="F33" i="3"/>
  <c r="M34" i="2"/>
  <c r="H47" i="3" s="1"/>
  <c r="M30" i="2"/>
  <c r="L31" i="2"/>
  <c r="L36" i="2"/>
  <c r="F49" i="3" s="1"/>
  <c r="M36" i="2"/>
  <c r="H49" i="3" s="1"/>
  <c r="L35" i="2"/>
  <c r="F48" i="3" s="1"/>
  <c r="L39" i="2"/>
  <c r="M39" i="2"/>
  <c r="M37" i="2"/>
  <c r="P32" i="2"/>
  <c r="L28" i="2"/>
  <c r="F39" i="3" s="1"/>
  <c r="L29" i="2"/>
  <c r="F41" i="3" s="1"/>
  <c r="L30" i="2"/>
  <c r="F42" i="3" s="1"/>
  <c r="L32" i="2"/>
  <c r="M29" i="2"/>
  <c r="M31" i="2"/>
  <c r="H30" i="3" l="1"/>
  <c r="P24" i="2"/>
  <c r="P28" i="2" s="1"/>
  <c r="H36" i="3"/>
  <c r="H38" i="3" s="1"/>
  <c r="M28" i="2"/>
  <c r="H39" i="3" s="1"/>
  <c r="P38" i="2"/>
  <c r="O37" i="2"/>
  <c r="O28" i="2"/>
  <c r="O39" i="2"/>
  <c r="F52" i="3"/>
  <c r="P37" i="2"/>
  <c r="H50" i="3"/>
  <c r="P39" i="2"/>
  <c r="H52" i="3"/>
  <c r="O38" i="2"/>
  <c r="F51" i="3"/>
  <c r="N30" i="2"/>
  <c r="K42" i="3" s="1"/>
  <c r="H42" i="3"/>
  <c r="N31" i="2"/>
  <c r="K43" i="3" s="1"/>
  <c r="H43" i="3"/>
  <c r="N29" i="2"/>
  <c r="K41" i="3" s="1"/>
  <c r="H41" i="3"/>
  <c r="O32" i="2"/>
  <c r="F44" i="3"/>
  <c r="O31" i="2"/>
  <c r="F43" i="3"/>
  <c r="F38" i="3"/>
  <c r="L40" i="2"/>
  <c r="F53" i="3" s="1"/>
  <c r="M40" i="2"/>
  <c r="P31" i="2"/>
  <c r="P33" i="2" s="1"/>
  <c r="L33" i="2"/>
  <c r="F45" i="3" s="1"/>
  <c r="M33" i="2"/>
  <c r="H45" i="3" s="1"/>
  <c r="H53" i="3" l="1"/>
  <c r="D41" i="2"/>
  <c r="D55" i="3" s="1"/>
  <c r="B56" i="3" s="1"/>
  <c r="P40" i="2"/>
  <c r="O33" i="2"/>
  <c r="N33" i="2"/>
  <c r="D44" i="2" s="1"/>
  <c r="D58" i="3" s="1"/>
  <c r="O40" i="2"/>
  <c r="D43" i="2"/>
  <c r="D57" i="3" s="1"/>
  <c r="K45" i="3" l="1"/>
  <c r="D45" i="2"/>
  <c r="D59" i="3" s="1"/>
  <c r="D42" i="2"/>
  <c r="D56" i="3" s="1"/>
</calcChain>
</file>

<file path=xl/sharedStrings.xml><?xml version="1.0" encoding="utf-8"?>
<sst xmlns="http://schemas.openxmlformats.org/spreadsheetml/2006/main" count="300" uniqueCount="210">
  <si>
    <t>Søer</t>
  </si>
  <si>
    <t>antal</t>
  </si>
  <si>
    <t>grise/so</t>
  </si>
  <si>
    <t>type 1</t>
  </si>
  <si>
    <t>type 2</t>
  </si>
  <si>
    <t>P til 25 kg</t>
  </si>
  <si>
    <t>N ab dyr pr gris, kg</t>
  </si>
  <si>
    <t>Fordeling på stalde og dyretyper - der indtastes alle årssøer på både fare og drægtighedsstalde og antal producede smågrise og slagtesvin pr staldtype</t>
  </si>
  <si>
    <t>Staldtype</t>
  </si>
  <si>
    <t>Normtal ab lager</t>
  </si>
  <si>
    <t>N, kg</t>
  </si>
  <si>
    <t>P, kg</t>
  </si>
  <si>
    <t>Ab lager, Type 1</t>
  </si>
  <si>
    <t>Ab lager, Type 2</t>
  </si>
  <si>
    <t>dyr</t>
  </si>
  <si>
    <t>Farestald, delvis spaltegulv</t>
  </si>
  <si>
    <t>Farestald, fuldspaltegulv</t>
  </si>
  <si>
    <t>Ind. Opstaldning, delvis fast gulv</t>
  </si>
  <si>
    <t>ind. Opstaldning, fuldspaltegulv</t>
  </si>
  <si>
    <t>Smågrise, drænet gulv+spalter</t>
  </si>
  <si>
    <t>Smågrise, dybstrøelse</t>
  </si>
  <si>
    <t>Slagtesvin 50-75%</t>
  </si>
  <si>
    <t>Slagtesvin, 25-50%</t>
  </si>
  <si>
    <t>Slagtesvin, drænet gulv</t>
  </si>
  <si>
    <t>Slagtesvin fast gulv</t>
  </si>
  <si>
    <t>i alt</t>
  </si>
  <si>
    <t>Valgt type 1 el 2</t>
  </si>
  <si>
    <t>I alt smågrise</t>
  </si>
  <si>
    <t>Vægtet loft for kg P pr ha</t>
  </si>
  <si>
    <t>ha</t>
  </si>
  <si>
    <t>Fosforarealkrav</t>
  </si>
  <si>
    <t>fra smågrise, hvis der er medicinsk zink i smågrisefoderet</t>
  </si>
  <si>
    <t>opnået i alt med</t>
  </si>
  <si>
    <t xml:space="preserve">Kan bruges til at </t>
  </si>
  <si>
    <t>regne en evt fordeling</t>
  </si>
  <si>
    <t>på gylle og andre</t>
  </si>
  <si>
    <t>gødningstyper</t>
  </si>
  <si>
    <t xml:space="preserve">hvis </t>
  </si>
  <si>
    <t>medicinsk</t>
  </si>
  <si>
    <t>zink</t>
  </si>
  <si>
    <t>I alt årssøer i farestalde</t>
  </si>
  <si>
    <t>Version august 2017</t>
  </si>
  <si>
    <t>Smågrise</t>
  </si>
  <si>
    <t>Slagtesvin</t>
  </si>
  <si>
    <t>råprotein</t>
  </si>
  <si>
    <t>g pr FE</t>
  </si>
  <si>
    <t>fosfor</t>
  </si>
  <si>
    <t>g pr. FE</t>
  </si>
  <si>
    <t>FEso pr</t>
  </si>
  <si>
    <t>årsso</t>
  </si>
  <si>
    <t>vægt ved</t>
  </si>
  <si>
    <t>FEsv pr kg</t>
  </si>
  <si>
    <t>tilvækst</t>
  </si>
  <si>
    <t>afgangs-</t>
  </si>
  <si>
    <t>indgangs-</t>
  </si>
  <si>
    <t>vægt</t>
  </si>
  <si>
    <t>korrektion</t>
  </si>
  <si>
    <t>af</t>
  </si>
  <si>
    <t>normtal</t>
  </si>
  <si>
    <t>fravæn.</t>
  </si>
  <si>
    <t>pr dyr</t>
  </si>
  <si>
    <t>Der skal dog kun tages hensyn til linjen med max 14 kg P</t>
  </si>
  <si>
    <t>Harmoniaareal 170 N ab lager</t>
  </si>
  <si>
    <t>Ind. Opstaldning, fast gulv</t>
  </si>
  <si>
    <t>Løsgående, dybstrøelse +spaltegulv</t>
  </si>
  <si>
    <t>Løsgående, dybstrøelse +fast gulv</t>
  </si>
  <si>
    <t>Løsgåenmde, dybstrøelse</t>
  </si>
  <si>
    <t>Løsgående, delvis fast gulv</t>
  </si>
  <si>
    <t>I alt årssøer i løbe-dr stalde</t>
  </si>
  <si>
    <t>Smågrise, delvis fast gulv</t>
  </si>
  <si>
    <t>Smågrise, fast gulv</t>
  </si>
  <si>
    <t>Slagtesvin, dybstrøelse opdelt lejeareal</t>
  </si>
  <si>
    <t>Slagtesvin, dybstrøelse</t>
  </si>
  <si>
    <t>I alt slagtesvin</t>
  </si>
  <si>
    <t>Bemærk sum skal være lig antal årssøer</t>
  </si>
  <si>
    <t>Heraf i fast møg</t>
  </si>
  <si>
    <t>eller i dybstrøelse</t>
  </si>
  <si>
    <t>hvis relevant</t>
  </si>
  <si>
    <t>Harmoniareal i 2017/18 for svinebrug med anvendelse af type 1 og/eller type 2 - og evt  zinkkorrektion, smågrise</t>
  </si>
  <si>
    <t>39 kg for slagtesvin og 35 kg for søer og smågrise og evt. P-tal tillæg</t>
  </si>
  <si>
    <t>Max 14 kg P, smågrise til 25 kg**</t>
  </si>
  <si>
    <t>P til 25 kg i % af P i alt</t>
  </si>
  <si>
    <t>%</t>
  </si>
  <si>
    <t>Det højeste antal ha definerer harmoniarealet</t>
  </si>
  <si>
    <t>hvis &gt;40% og ikke "søer med smågrise", så hvert 3. år, hvis zink</t>
  </si>
  <si>
    <t>kg</t>
  </si>
  <si>
    <t>SEGES, Svineproduktion</t>
  </si>
  <si>
    <t>Korrektion for fosfortal på</t>
  </si>
  <si>
    <t>harmoniareal (lavere end 4 hæver loft)</t>
  </si>
  <si>
    <t>Korrektion af fosfor, smågrise til 25 kg</t>
  </si>
  <si>
    <t>P for smågrise ab lager divideres med:</t>
  </si>
  <si>
    <t>Type 1 er vægtkorrigerede normtal, som bruges for smågrise og slagtesvin, med mindre der vælges type 2, som er egne tal. Der kan frit vælges egne tal</t>
  </si>
  <si>
    <t>Faglig ansvarlig Per Tybirk, 87405361</t>
  </si>
  <si>
    <t>Regel ved brug af medicinsk zink:</t>
  </si>
  <si>
    <t>grise/årsso</t>
  </si>
  <si>
    <t>frav. vægt</t>
  </si>
  <si>
    <t>P, g/FE</t>
  </si>
  <si>
    <t>FEso/so</t>
  </si>
  <si>
    <t>frav., kg</t>
  </si>
  <si>
    <t>Råp., g/FE</t>
  </si>
  <si>
    <t>P ab dyr pr gris, kg</t>
  </si>
  <si>
    <t>N ab dyr pr årsso, kg</t>
  </si>
  <si>
    <t>P ab dyr pr årsso, kg</t>
  </si>
  <si>
    <t>pr. dyregruppe, dvs man kan fx vælge at korrigere alene for P - alene for slagtesvin. Ønskes ikke type 2 korrektion skrives 0 i råprotein, g pr FE (N) eller 0  i fosfor, g pr. FE (P)</t>
  </si>
  <si>
    <t xml:space="preserve">Korrektionsfaktorer pr. smågris i forhold til normtal </t>
  </si>
  <si>
    <t xml:space="preserve">Korrektionsfaktorer pr. slagtesvin i forhold til normtal </t>
  </si>
  <si>
    <t xml:space="preserve">Bemærk desuden, at regnearket giver </t>
  </si>
  <si>
    <t>giver mulighed for at N og P opskrives</t>
  </si>
  <si>
    <t>med type 2 korrektion, hvis der bruges</t>
  </si>
  <si>
    <t>tal, som er over landsgennemsnit</t>
  </si>
  <si>
    <t>Ofte vil man så undgå type 2 korrektion</t>
  </si>
  <si>
    <t>ved at skrive 0 i råprotein og/eller 0</t>
  </si>
  <si>
    <t xml:space="preserve">**Vær opmærksom på, at der kun må udbringes ren smågrisegylle med medicinsk zink hvert 3. år </t>
  </si>
  <si>
    <t>på samme areal. Reglen træder i kraft ved over 40% "smågrisegylle til 25 kg", dog ikke hvis</t>
  </si>
  <si>
    <t>gødningen alene stammer fra en besætning med søer og smågrise. 14 kgs regel bliver mest</t>
  </si>
  <si>
    <t>gennemsnitlige zinkkoncentration i gyllen</t>
  </si>
  <si>
    <t xml:space="preserve">Større afgangsvægt på smågrise reducerer problemet, fordi gylle fra grise over 25 kg sænker den </t>
  </si>
  <si>
    <t>fra smågrisenes afgangsvægt</t>
  </si>
  <si>
    <t>Konstant beregnes med formel alene ud</t>
  </si>
  <si>
    <t>i fosfor gram pr. FE</t>
  </si>
  <si>
    <t>begrænsende i sobesætning med salg af grise under ca. 18-24 kg afh. af grise pr. årsso, P-tal mm</t>
  </si>
  <si>
    <t>Heraf tillæg uden JB 11 og 12, kg pr ha*</t>
  </si>
  <si>
    <t>% JB-11 + JB 12 af harmoniareal:</t>
  </si>
  <si>
    <t>samlet loft kan maximalt blive 45 kg</t>
  </si>
  <si>
    <t>indregnes i endelig loftberegning</t>
  </si>
  <si>
    <t>Tillæg korrigeret for JB 11 og 12:</t>
  </si>
  <si>
    <t>P-tal, gennemsnit =</t>
  </si>
  <si>
    <t>Der kan kun indtastes i gule felter</t>
  </si>
  <si>
    <t>Der kan korrigeres for egne fodertal og harmoniarealets fosfortal</t>
  </si>
  <si>
    <t>Normtal til sammenligning</t>
  </si>
  <si>
    <t>39/35/35 kg for slagtesvin/søer/smågrise + evt. P-tal tillæg</t>
  </si>
  <si>
    <t>N</t>
  </si>
  <si>
    <t>P</t>
  </si>
  <si>
    <t>Er der fx 1000 årssøer skal der i alt være 1000 årssøer på farestalde og 1000 årssøer på løbe-dr.stalde</t>
  </si>
  <si>
    <t xml:space="preserve">Fordeling på stalde og dyretyper - der indtastes antal producerede smågrise og slagtesvin pr staldtype </t>
  </si>
  <si>
    <t>Max 14 kg P, smågrise til 25 kg</t>
  </si>
  <si>
    <t>Vil man bruge normtal for N tastes 0 i g råprotein pr. FE for aktuel dyregruppe</t>
  </si>
  <si>
    <t>Vil man bruge normtal for P tastes 0 i g fosfor pr. FE for aktuel dyregruppe</t>
  </si>
  <si>
    <t>Normtal for smågrise og slagtesvin korrigeres automatisk for vægtinterval, mens søer har fast normtal</t>
  </si>
  <si>
    <t>Opnået korrektionsfaktor</t>
  </si>
  <si>
    <t>ingen korrektion</t>
  </si>
  <si>
    <t>til 25 kg findes</t>
  </si>
  <si>
    <t xml:space="preserve">ved at dividere P til </t>
  </si>
  <si>
    <t>korrektionsfaktor:</t>
  </si>
  <si>
    <t>Smågrise fosfor</t>
  </si>
  <si>
    <t>korrigeret til</t>
  </si>
  <si>
    <t>P tillæg, kg P pr. ha:</t>
  </si>
  <si>
    <t>Søer, I alt:</t>
  </si>
  <si>
    <t>ud fra</t>
  </si>
  <si>
    <t>Type 1, vægt</t>
  </si>
  <si>
    <t>Korrigeret for evt. JB11 og JB12 maximalt</t>
  </si>
  <si>
    <t>I alt årssøer</t>
  </si>
  <si>
    <t>Procentdel af harmoniareal i JB11+ JB12</t>
  </si>
  <si>
    <t>Egne tal, pr årsso</t>
  </si>
  <si>
    <t>Egne tal smågrise</t>
  </si>
  <si>
    <t>Normtal smågrise</t>
  </si>
  <si>
    <t>Normtal slagtesvin</t>
  </si>
  <si>
    <t>Man kan vælge egne tal pr. dyregruppe og pr. næringsstof (N eller P)</t>
  </si>
  <si>
    <t>uanset antal og vægt ved fravænning. Hensyn hertil kræver valg af type 2 korrektion med tilhørende dokumentation.</t>
  </si>
  <si>
    <t>Indtastede tal er vist i gule felter</t>
  </si>
  <si>
    <t>kg  (Valgt vægt)</t>
  </si>
  <si>
    <t>med følgende</t>
  </si>
  <si>
    <t>25 kg giver nedenstående</t>
  </si>
  <si>
    <t>Antal dyr</t>
  </si>
  <si>
    <t>Fravæn.</t>
  </si>
  <si>
    <t>Vægt ved</t>
  </si>
  <si>
    <t>Råprotein</t>
  </si>
  <si>
    <t>Fosfor</t>
  </si>
  <si>
    <t>Egne tal, type 2</t>
  </si>
  <si>
    <t>besætninger med lav</t>
  </si>
  <si>
    <t>afgangsvægt på smågrise</t>
  </si>
  <si>
    <t>Fosfor for smågrise</t>
  </si>
  <si>
    <t>Ønsket om begrænsning</t>
  </si>
  <si>
    <t>fra smågrise til 25 kg.</t>
  </si>
  <si>
    <t>Kan især påvirke so-</t>
  </si>
  <si>
    <t>af zinktilførsel styres af</t>
  </si>
  <si>
    <t>reglen om max 14 kg P/ha</t>
  </si>
  <si>
    <t>P ab lager, opnået</t>
  </si>
  <si>
    <t>N ab lager, opnået</t>
  </si>
  <si>
    <t>kg fosfor ab lager</t>
  </si>
  <si>
    <t>g pr FEso</t>
  </si>
  <si>
    <t>g pr. FEso</t>
  </si>
  <si>
    <t>g pr. FEsv</t>
  </si>
  <si>
    <t>Harmoniarealets gennemsnitlige fosfortal:</t>
  </si>
  <si>
    <t>Man kan fx vælge normtal for søer og smågrise, men egne tal alene for P til slagtesvin</t>
  </si>
  <si>
    <t>Der beregnes også evt. max 14 kg P fra smågrise op til 25 kg ved medicinsk zink</t>
  </si>
  <si>
    <t>Udarbejdet af:</t>
  </si>
  <si>
    <t>Sofus Ornesen</t>
  </si>
  <si>
    <t>GMO, 9999 Gyllebo</t>
  </si>
  <si>
    <t>Udarbejdet for svineproducent</t>
  </si>
  <si>
    <t>Vægtet loft for kg P pr. ha</t>
  </si>
  <si>
    <r>
      <rPr>
        <b/>
        <sz val="11"/>
        <color theme="1"/>
        <rFont val="Calibri"/>
        <family val="2"/>
        <scheme val="minor"/>
      </rPr>
      <t>Det fremhævede (højeste) antal ha</t>
    </r>
    <r>
      <rPr>
        <sz val="11"/>
        <color theme="1"/>
        <rFont val="Calibri"/>
        <family val="2"/>
        <scheme val="minor"/>
      </rPr>
      <t xml:space="preserve"> er krav til udspredningsarealet</t>
    </r>
  </si>
  <si>
    <t>P-loft, max</t>
  </si>
  <si>
    <t>kg P/ha :</t>
  </si>
  <si>
    <t>Max 170 kg N ab lager pr. ha</t>
  </si>
  <si>
    <t>Fagligt ansvarlig: Per Tybirk, 87405361</t>
  </si>
  <si>
    <t>Svinestien 17, 6666 Svinsted</t>
  </si>
  <si>
    <t>Søren Gyllsø</t>
  </si>
  <si>
    <t>Procentdel af jord i område med 30 kgs loft</t>
  </si>
  <si>
    <t>Korr. faktorer pr årsso i forhold til normtal 2018/19, søer har ikke type 1 korrektioner</t>
  </si>
  <si>
    <r>
      <t xml:space="preserve">Forudsætninger for normtal </t>
    </r>
    <r>
      <rPr>
        <b/>
        <sz val="11"/>
        <color rgb="FFFF0000"/>
        <rFont val="Calibri"/>
        <family val="2"/>
        <scheme val="minor"/>
      </rPr>
      <t>2018/19</t>
    </r>
  </si>
  <si>
    <t xml:space="preserve">Harmoniareal for svinebrug i 2018-19 </t>
  </si>
  <si>
    <t>Oktober 2018, SEGES, Svineproduktion</t>
  </si>
  <si>
    <t>Udgået</t>
  </si>
  <si>
    <t>omregnet til decimaltal</t>
  </si>
  <si>
    <t>Og gyllen defineres som FRATS, hvis startvægt er under 25 kg</t>
  </si>
  <si>
    <t>Lidt forsimplet, men standard er, at 21% af gylle defineres som smågrisegylle, hvis FRATS</t>
  </si>
  <si>
    <t xml:space="preserve">Fosforloft slagtesvin korrigeres til FRATS ved indgangsvægt under 25 kg: </t>
  </si>
  <si>
    <t>Egne tal slagtesvin/FRATS</t>
  </si>
  <si>
    <t>FRATS og slagtesvin er angivet som slagtesvin, da gødning beregnes som slagtesvin, men dog lavere P-loft ved FRATS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</si>
</sst>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"/>
    <numFmt numFmtId="166" formatCode="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FFC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B6DF8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/>
    <xf numFmtId="0" fontId="0" fillId="0" borderId="0" xfId="0" applyFont="1"/>
    <xf numFmtId="2" fontId="0" fillId="3" borderId="0" xfId="0" applyNumberFormat="1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4" borderId="0" xfId="0" applyFill="1"/>
    <xf numFmtId="0" fontId="0" fillId="0" borderId="0" xfId="0" applyFill="1"/>
    <xf numFmtId="0" fontId="0" fillId="9" borderId="0" xfId="0" applyFill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10" borderId="0" xfId="0" applyFont="1" applyFill="1" applyAlignment="1">
      <alignment horizontal="center"/>
    </xf>
    <xf numFmtId="165" fontId="1" fillId="10" borderId="0" xfId="0" applyNumberFormat="1" applyFont="1" applyFill="1" applyAlignment="1">
      <alignment horizontal="center"/>
    </xf>
    <xf numFmtId="165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1" fillId="4" borderId="0" xfId="0" applyFont="1" applyFill="1"/>
    <xf numFmtId="0" fontId="0" fillId="8" borderId="0" xfId="0" applyFill="1" applyAlignment="1">
      <alignment horizontal="center"/>
    </xf>
    <xf numFmtId="0" fontId="1" fillId="8" borderId="0" xfId="0" applyFont="1" applyFill="1" applyAlignment="1">
      <alignment horizontal="center"/>
    </xf>
    <xf numFmtId="165" fontId="0" fillId="8" borderId="0" xfId="0" applyNumberFormat="1" applyFill="1" applyAlignment="1">
      <alignment horizontal="center"/>
    </xf>
    <xf numFmtId="165" fontId="1" fillId="8" borderId="0" xfId="0" applyNumberFormat="1" applyFont="1" applyFill="1" applyAlignment="1">
      <alignment horizontal="center"/>
    </xf>
    <xf numFmtId="165" fontId="0" fillId="7" borderId="0" xfId="0" applyNumberFormat="1" applyFill="1" applyAlignment="1">
      <alignment horizontal="center"/>
    </xf>
    <xf numFmtId="165" fontId="1" fillId="7" borderId="0" xfId="0" applyNumberFormat="1" applyFont="1" applyFill="1" applyAlignment="1">
      <alignment horizontal="center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8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1" borderId="0" xfId="0" applyFill="1" applyAlignment="1">
      <alignment horizontal="center"/>
    </xf>
    <xf numFmtId="0" fontId="1" fillId="11" borderId="0" xfId="0" applyFont="1" applyFill="1" applyAlignment="1">
      <alignment horizontal="center"/>
    </xf>
    <xf numFmtId="165" fontId="0" fillId="11" borderId="0" xfId="0" applyNumberFormat="1" applyFill="1" applyAlignment="1">
      <alignment horizontal="center"/>
    </xf>
    <xf numFmtId="165" fontId="1" fillId="11" borderId="0" xfId="0" applyNumberFormat="1" applyFont="1" applyFill="1" applyAlignment="1">
      <alignment horizontal="center"/>
    </xf>
    <xf numFmtId="164" fontId="1" fillId="7" borderId="0" xfId="0" applyNumberFormat="1" applyFont="1" applyFill="1"/>
    <xf numFmtId="0" fontId="0" fillId="14" borderId="0" xfId="0" applyFill="1"/>
    <xf numFmtId="0" fontId="1" fillId="3" borderId="0" xfId="0" applyFont="1" applyFill="1"/>
    <xf numFmtId="0" fontId="1" fillId="9" borderId="0" xfId="0" applyFont="1" applyFill="1"/>
    <xf numFmtId="0" fontId="0" fillId="11" borderId="0" xfId="0" applyFill="1" applyAlignment="1">
      <alignment horizontal="left"/>
    </xf>
    <xf numFmtId="0" fontId="1" fillId="12" borderId="0" xfId="0" applyFont="1" applyFill="1"/>
    <xf numFmtId="0" fontId="1" fillId="11" borderId="0" xfId="0" applyFont="1" applyFill="1" applyAlignment="1">
      <alignment horizontal="left"/>
    </xf>
    <xf numFmtId="0" fontId="1" fillId="6" borderId="0" xfId="0" applyFont="1" applyFill="1"/>
    <xf numFmtId="0" fontId="1" fillId="5" borderId="0" xfId="0" applyFont="1" applyFill="1"/>
    <xf numFmtId="0" fontId="0" fillId="8" borderId="0" xfId="0" applyFill="1" applyAlignment="1">
      <alignment horizontal="left"/>
    </xf>
    <xf numFmtId="0" fontId="1" fillId="8" borderId="0" xfId="0" applyFont="1" applyFill="1"/>
    <xf numFmtId="0" fontId="1" fillId="14" borderId="0" xfId="0" applyFont="1" applyFill="1"/>
    <xf numFmtId="0" fontId="1" fillId="11" borderId="0" xfId="0" applyFont="1" applyFill="1"/>
    <xf numFmtId="0" fontId="0" fillId="14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2" borderId="0" xfId="0" applyFont="1" applyFill="1"/>
    <xf numFmtId="166" fontId="0" fillId="8" borderId="0" xfId="0" applyNumberFormat="1" applyFill="1" applyAlignment="1">
      <alignment horizontal="center"/>
    </xf>
    <xf numFmtId="166" fontId="0" fillId="11" borderId="0" xfId="0" applyNumberFormat="1" applyFill="1" applyAlignment="1">
      <alignment horizontal="center"/>
    </xf>
    <xf numFmtId="166" fontId="3" fillId="11" borderId="0" xfId="0" applyNumberFormat="1" applyFont="1" applyFill="1" applyAlignment="1">
      <alignment horizontal="center"/>
    </xf>
    <xf numFmtId="0" fontId="5" fillId="14" borderId="0" xfId="0" applyFont="1" applyFill="1"/>
    <xf numFmtId="0" fontId="2" fillId="14" borderId="0" xfId="0" applyFont="1" applyFill="1"/>
    <xf numFmtId="165" fontId="0" fillId="3" borderId="0" xfId="0" applyNumberFormat="1" applyFill="1"/>
    <xf numFmtId="0" fontId="6" fillId="14" borderId="0" xfId="0" applyFont="1" applyFill="1"/>
    <xf numFmtId="0" fontId="0" fillId="14" borderId="0" xfId="0" applyFont="1" applyFill="1"/>
    <xf numFmtId="0" fontId="0" fillId="13" borderId="0" xfId="0" applyFill="1" applyAlignment="1">
      <alignment horizontal="center"/>
    </xf>
    <xf numFmtId="164" fontId="1" fillId="13" borderId="0" xfId="0" applyNumberFormat="1" applyFont="1" applyFill="1" applyAlignment="1">
      <alignment horizontal="center"/>
    </xf>
    <xf numFmtId="0" fontId="1" fillId="13" borderId="0" xfId="0" applyFont="1" applyFill="1" applyAlignment="1">
      <alignment horizontal="left"/>
    </xf>
    <xf numFmtId="165" fontId="1" fillId="3" borderId="0" xfId="0" applyNumberFormat="1" applyFont="1" applyFill="1"/>
    <xf numFmtId="0" fontId="0" fillId="14" borderId="0" xfId="0" applyFill="1" applyProtection="1"/>
    <xf numFmtId="0" fontId="0" fillId="3" borderId="0" xfId="0" applyFill="1" applyProtection="1"/>
    <xf numFmtId="0" fontId="0" fillId="15" borderId="0" xfId="0" applyFill="1"/>
    <xf numFmtId="0" fontId="1" fillId="2" borderId="0" xfId="0" applyFont="1" applyFill="1"/>
    <xf numFmtId="0" fontId="1" fillId="13" borderId="0" xfId="0" applyFont="1" applyFill="1"/>
    <xf numFmtId="0" fontId="1" fillId="0" borderId="0" xfId="0" applyFont="1" applyFill="1"/>
    <xf numFmtId="0" fontId="0" fillId="0" borderId="0" xfId="0" applyFill="1" applyAlignment="1"/>
    <xf numFmtId="0" fontId="6" fillId="5" borderId="0" xfId="0" applyFont="1" applyFill="1"/>
    <xf numFmtId="0" fontId="5" fillId="16" borderId="0" xfId="0" applyFont="1" applyFill="1"/>
    <xf numFmtId="0" fontId="0" fillId="16" borderId="0" xfId="0" applyFill="1"/>
    <xf numFmtId="0" fontId="0" fillId="13" borderId="0" xfId="0" applyFont="1" applyFill="1"/>
    <xf numFmtId="0" fontId="1" fillId="17" borderId="0" xfId="0" applyFont="1" applyFill="1"/>
    <xf numFmtId="165" fontId="0" fillId="9" borderId="0" xfId="0" applyNumberFormat="1" applyFill="1" applyAlignment="1">
      <alignment horizontal="center"/>
    </xf>
    <xf numFmtId="165" fontId="1" fillId="9" borderId="0" xfId="0" applyNumberFormat="1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" fillId="13" borderId="0" xfId="0" applyFont="1" applyFill="1" applyAlignment="1">
      <alignment horizontal="center"/>
    </xf>
    <xf numFmtId="0" fontId="0" fillId="2" borderId="0" xfId="0" applyFill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0" fillId="2" borderId="0" xfId="0" applyFill="1" applyProtection="1"/>
    <xf numFmtId="166" fontId="0" fillId="7" borderId="0" xfId="0" applyNumberFormat="1" applyFill="1"/>
    <xf numFmtId="0" fontId="8" fillId="0" borderId="0" xfId="0" applyFont="1" applyFill="1" applyAlignment="1">
      <alignment horizontal="right"/>
    </xf>
    <xf numFmtId="165" fontId="1" fillId="0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165" fontId="1" fillId="7" borderId="0" xfId="0" applyNumberFormat="1" applyFont="1" applyFill="1"/>
    <xf numFmtId="0" fontId="1" fillId="17" borderId="0" xfId="0" applyFont="1" applyFill="1" applyAlignment="1">
      <alignment horizontal="center"/>
    </xf>
    <xf numFmtId="165" fontId="0" fillId="17" borderId="0" xfId="0" applyNumberFormat="1" applyFill="1" applyAlignment="1">
      <alignment horizontal="center"/>
    </xf>
    <xf numFmtId="165" fontId="1" fillId="17" borderId="0" xfId="0" applyNumberFormat="1" applyFont="1" applyFill="1" applyAlignment="1">
      <alignment horizontal="center"/>
    </xf>
    <xf numFmtId="0" fontId="0" fillId="17" borderId="0" xfId="0" applyFill="1" applyAlignment="1"/>
    <xf numFmtId="165" fontId="0" fillId="11" borderId="0" xfId="0" applyNumberFormat="1" applyFill="1"/>
    <xf numFmtId="0" fontId="7" fillId="0" borderId="0" xfId="0" applyFont="1"/>
    <xf numFmtId="0" fontId="1" fillId="18" borderId="0" xfId="0" applyFont="1" applyFill="1"/>
    <xf numFmtId="0" fontId="0" fillId="18" borderId="0" xfId="0" applyFill="1"/>
    <xf numFmtId="165" fontId="0" fillId="9" borderId="0" xfId="0" applyNumberFormat="1" applyFill="1"/>
    <xf numFmtId="165" fontId="0" fillId="9" borderId="0" xfId="0" applyNumberFormat="1" applyFont="1" applyFill="1"/>
    <xf numFmtId="0" fontId="7" fillId="8" borderId="0" xfId="0" applyFont="1" applyFill="1" applyAlignment="1">
      <alignment horizontal="center"/>
    </xf>
    <xf numFmtId="0" fontId="7" fillId="11" borderId="0" xfId="0" applyFont="1" applyFill="1" applyAlignment="1">
      <alignment horizontal="center"/>
    </xf>
    <xf numFmtId="166" fontId="8" fillId="7" borderId="0" xfId="0" applyNumberFormat="1" applyFont="1" applyFill="1" applyAlignment="1">
      <alignment horizontal="center"/>
    </xf>
    <xf numFmtId="166" fontId="8" fillId="12" borderId="0" xfId="0" applyNumberFormat="1" applyFont="1" applyFill="1" applyAlignment="1">
      <alignment horizontal="center"/>
    </xf>
    <xf numFmtId="0" fontId="7" fillId="6" borderId="0" xfId="0" applyFont="1" applyFill="1"/>
    <xf numFmtId="166" fontId="7" fillId="8" borderId="0" xfId="0" applyNumberFormat="1" applyFont="1" applyFill="1" applyAlignment="1">
      <alignment horizontal="center"/>
    </xf>
    <xf numFmtId="166" fontId="7" fillId="11" borderId="0" xfId="0" applyNumberFormat="1" applyFont="1" applyFill="1" applyAlignment="1">
      <alignment horizontal="center"/>
    </xf>
    <xf numFmtId="2" fontId="0" fillId="3" borderId="0" xfId="0" applyNumberFormat="1" applyFill="1" applyAlignment="1">
      <alignment horizontal="center"/>
    </xf>
    <xf numFmtId="2" fontId="0" fillId="9" borderId="0" xfId="0" applyNumberFormat="1" applyFill="1" applyAlignment="1">
      <alignment horizontal="center"/>
    </xf>
    <xf numFmtId="0" fontId="10" fillId="0" borderId="0" xfId="0" applyFont="1"/>
    <xf numFmtId="0" fontId="0" fillId="19" borderId="0" xfId="0" applyFill="1"/>
    <xf numFmtId="165" fontId="0" fillId="15" borderId="0" xfId="0" applyNumberFormat="1" applyFill="1"/>
    <xf numFmtId="2" fontId="0" fillId="19" borderId="0" xfId="0" applyNumberFormat="1" applyFill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165" fontId="0" fillId="0" borderId="0" xfId="0" applyNumberFormat="1" applyFont="1" applyFill="1" applyAlignment="1">
      <alignment horizontal="center"/>
    </xf>
    <xf numFmtId="0" fontId="0" fillId="0" borderId="0" xfId="0" applyFont="1" applyFill="1" applyAlignment="1"/>
  </cellXfs>
  <cellStyles count="1">
    <cellStyle name="Normal" xfId="0" builtinId="0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B6DF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ontortema">
  <a:themeElements>
    <a:clrScheme name="SEGES">
      <a:dk1>
        <a:srgbClr val="000000"/>
      </a:dk1>
      <a:lt1>
        <a:sysClr val="window" lastClr="FFFFFF"/>
      </a:lt1>
      <a:dk2>
        <a:srgbClr val="09562C"/>
      </a:dk2>
      <a:lt2>
        <a:srgbClr val="E7E5DB"/>
      </a:lt2>
      <a:accent1>
        <a:srgbClr val="076471"/>
      </a:accent1>
      <a:accent2>
        <a:srgbClr val="C8C7B2"/>
      </a:accent2>
      <a:accent3>
        <a:srgbClr val="9DDCF9"/>
      </a:accent3>
      <a:accent4>
        <a:srgbClr val="7C9877"/>
      </a:accent4>
      <a:accent5>
        <a:srgbClr val="338291"/>
      </a:accent5>
      <a:accent6>
        <a:srgbClr val="E95D0F"/>
      </a:accent6>
      <a:hlink>
        <a:srgbClr val="076471"/>
      </a:hlink>
      <a:folHlink>
        <a:srgbClr val="E95D0F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abSelected="1" workbookViewId="0">
      <selection activeCell="M7" sqref="M7"/>
    </sheetView>
  </sheetViews>
  <sheetFormatPr defaultRowHeight="14.4" x14ac:dyDescent="0.3"/>
  <cols>
    <col min="1" max="1" width="10.109375" customWidth="1"/>
    <col min="2" max="2" width="7.33203125" customWidth="1"/>
    <col min="3" max="3" width="7.6640625" customWidth="1"/>
    <col min="8" max="8" width="8.6640625" customWidth="1"/>
    <col min="9" max="9" width="7.33203125" customWidth="1"/>
    <col min="10" max="10" width="6.33203125" customWidth="1"/>
    <col min="11" max="11" width="6.5546875" customWidth="1"/>
    <col min="12" max="12" width="8.44140625" customWidth="1"/>
  </cols>
  <sheetData>
    <row r="1" spans="1:13" ht="21" x14ac:dyDescent="0.35">
      <c r="A1" s="75" t="s">
        <v>201</v>
      </c>
      <c r="B1" s="76"/>
      <c r="C1" s="76"/>
      <c r="D1" s="76"/>
      <c r="E1" s="76"/>
      <c r="F1" s="76"/>
      <c r="G1" s="76"/>
      <c r="H1" s="76" t="s">
        <v>202</v>
      </c>
      <c r="I1" s="76"/>
      <c r="J1" s="76"/>
      <c r="K1" s="76"/>
      <c r="L1" s="76"/>
    </row>
    <row r="2" spans="1:13" ht="15.75" x14ac:dyDescent="0.25">
      <c r="A2" s="74" t="s">
        <v>128</v>
      </c>
      <c r="B2" s="6"/>
      <c r="C2" s="6"/>
      <c r="D2" s="6"/>
      <c r="E2" s="6"/>
      <c r="F2" s="6"/>
      <c r="G2" s="6"/>
      <c r="H2" s="76" t="s">
        <v>195</v>
      </c>
      <c r="I2" s="76"/>
      <c r="J2" s="76"/>
      <c r="K2" s="76"/>
      <c r="L2" s="76"/>
    </row>
    <row r="3" spans="1:13" x14ac:dyDescent="0.3">
      <c r="A3" s="6" t="s">
        <v>185</v>
      </c>
      <c r="B3" s="6"/>
      <c r="C3" s="6"/>
      <c r="D3" s="6"/>
      <c r="E3" s="6"/>
      <c r="F3" s="6"/>
      <c r="G3" s="6"/>
      <c r="H3" s="6"/>
      <c r="I3" s="100" t="s">
        <v>186</v>
      </c>
      <c r="J3" s="100"/>
      <c r="K3" s="27" t="s">
        <v>187</v>
      </c>
      <c r="L3" s="27"/>
    </row>
    <row r="4" spans="1:13" x14ac:dyDescent="0.3">
      <c r="A4" s="6" t="s">
        <v>157</v>
      </c>
      <c r="B4" s="6"/>
      <c r="C4" s="6"/>
      <c r="D4" s="6"/>
      <c r="E4" s="6"/>
      <c r="F4" s="6"/>
      <c r="G4" s="6"/>
      <c r="H4" s="6"/>
      <c r="I4" s="27" t="s">
        <v>188</v>
      </c>
      <c r="J4" s="27"/>
      <c r="K4" s="27"/>
      <c r="L4" s="27"/>
    </row>
    <row r="5" spans="1:13" x14ac:dyDescent="0.3">
      <c r="A5" s="6" t="s">
        <v>184</v>
      </c>
      <c r="B5" s="6"/>
      <c r="C5" s="6"/>
      <c r="D5" s="6"/>
      <c r="E5" s="6"/>
      <c r="F5" s="6"/>
      <c r="G5" s="6"/>
      <c r="H5" s="6"/>
      <c r="I5" s="100" t="s">
        <v>189</v>
      </c>
      <c r="J5" s="100"/>
      <c r="K5" s="101"/>
      <c r="L5" s="101"/>
    </row>
    <row r="6" spans="1:13" x14ac:dyDescent="0.3">
      <c r="A6" s="6" t="s">
        <v>136</v>
      </c>
      <c r="B6" s="6"/>
      <c r="C6" s="6"/>
      <c r="D6" s="6"/>
      <c r="E6" s="6"/>
      <c r="F6" s="6"/>
      <c r="G6" s="6"/>
      <c r="H6" s="6"/>
      <c r="I6" s="27" t="s">
        <v>197</v>
      </c>
      <c r="J6" s="27"/>
      <c r="K6" s="27"/>
      <c r="L6" s="27"/>
    </row>
    <row r="7" spans="1:13" ht="15" x14ac:dyDescent="0.25">
      <c r="A7" s="6" t="s">
        <v>137</v>
      </c>
      <c r="B7" s="6"/>
      <c r="C7" s="6"/>
      <c r="D7" s="6"/>
      <c r="E7" s="6"/>
      <c r="F7" s="6"/>
      <c r="G7" s="6"/>
      <c r="H7" s="6"/>
      <c r="I7" s="27" t="s">
        <v>196</v>
      </c>
      <c r="J7" s="27"/>
      <c r="K7" s="27"/>
      <c r="L7" s="27"/>
    </row>
    <row r="8" spans="1:13" x14ac:dyDescent="0.3">
      <c r="A8" s="6" t="s">
        <v>138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3" x14ac:dyDescent="0.3">
      <c r="A9" s="6" t="s">
        <v>158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3" x14ac:dyDescent="0.3">
      <c r="A10" s="70" t="s">
        <v>127</v>
      </c>
      <c r="B10" s="1"/>
      <c r="C10" s="1"/>
      <c r="D10" s="1"/>
      <c r="E10" s="32"/>
      <c r="F10" s="32"/>
      <c r="G10" s="32"/>
      <c r="H10" s="32"/>
      <c r="I10" s="71" t="s">
        <v>139</v>
      </c>
      <c r="J10" s="71"/>
      <c r="K10" s="71"/>
      <c r="L10" s="71"/>
    </row>
    <row r="11" spans="1:13" x14ac:dyDescent="0.3">
      <c r="A11" s="71"/>
      <c r="B11" s="32"/>
      <c r="C11" s="32"/>
      <c r="D11" s="71" t="s">
        <v>164</v>
      </c>
      <c r="E11" s="71" t="s">
        <v>165</v>
      </c>
      <c r="F11" s="71" t="s">
        <v>48</v>
      </c>
      <c r="G11" s="71" t="s">
        <v>166</v>
      </c>
      <c r="H11" s="71" t="s">
        <v>167</v>
      </c>
      <c r="I11" s="71" t="s">
        <v>149</v>
      </c>
      <c r="J11" s="71"/>
      <c r="K11" s="71" t="s">
        <v>168</v>
      </c>
      <c r="L11" s="71"/>
    </row>
    <row r="12" spans="1:13" x14ac:dyDescent="0.3">
      <c r="A12" s="32"/>
      <c r="B12" s="32"/>
      <c r="C12" s="32"/>
      <c r="D12" s="71" t="s">
        <v>2</v>
      </c>
      <c r="E12" s="71" t="s">
        <v>98</v>
      </c>
      <c r="F12" s="71" t="s">
        <v>49</v>
      </c>
      <c r="G12" s="71" t="s">
        <v>180</v>
      </c>
      <c r="H12" s="71" t="s">
        <v>181</v>
      </c>
      <c r="I12" s="71" t="s">
        <v>131</v>
      </c>
      <c r="J12" s="71" t="s">
        <v>132</v>
      </c>
      <c r="K12" s="85" t="s">
        <v>131</v>
      </c>
      <c r="L12" s="85" t="s">
        <v>132</v>
      </c>
      <c r="M12" s="99" t="str">
        <f>IF(F13&lt;1300,"for lavt foderforbrug"," ")</f>
        <v xml:space="preserve"> </v>
      </c>
    </row>
    <row r="13" spans="1:13" x14ac:dyDescent="0.3">
      <c r="A13" s="32" t="s">
        <v>153</v>
      </c>
      <c r="B13" s="32"/>
      <c r="C13" s="32"/>
      <c r="D13" s="28">
        <v>32.200000000000003</v>
      </c>
      <c r="E13" s="28">
        <v>6.7</v>
      </c>
      <c r="F13" s="28">
        <v>1484</v>
      </c>
      <c r="G13" s="28">
        <v>0</v>
      </c>
      <c r="H13" s="28">
        <v>0</v>
      </c>
      <c r="I13" s="11" t="s">
        <v>140</v>
      </c>
      <c r="J13" s="11"/>
      <c r="K13" s="111" t="str">
        <f>IF(G13=0,"ingen",'beregninger med detaljer'!I7)</f>
        <v>ingen</v>
      </c>
      <c r="L13" s="111" t="str">
        <f>IF(H13=0,"ingen",'beregninger med detaljer'!K7)</f>
        <v>ingen</v>
      </c>
      <c r="M13" s="99" t="str">
        <f>IF(G13=0," ",IF(G13&lt;115,"for lav råprotein"," "))</f>
        <v xml:space="preserve"> </v>
      </c>
    </row>
    <row r="14" spans="1:13" x14ac:dyDescent="0.3">
      <c r="A14" s="32" t="s">
        <v>129</v>
      </c>
      <c r="B14" s="32"/>
      <c r="C14" s="32"/>
      <c r="D14" s="63">
        <v>32.200000000000003</v>
      </c>
      <c r="E14" s="63">
        <v>6.7</v>
      </c>
      <c r="F14" s="63">
        <v>1484</v>
      </c>
      <c r="G14" s="63">
        <v>133.30000000000001</v>
      </c>
      <c r="H14" s="63">
        <v>4.5999999999999996</v>
      </c>
      <c r="I14" s="71" t="s">
        <v>139</v>
      </c>
      <c r="J14" s="32"/>
      <c r="K14" s="32"/>
      <c r="L14" s="32"/>
      <c r="M14" s="99" t="str">
        <f>IF(H13=0," ",IF(H13&lt;4,"for lav fosfor"," "))</f>
        <v xml:space="preserve"> </v>
      </c>
    </row>
    <row r="15" spans="1:13" x14ac:dyDescent="0.3">
      <c r="A15" s="32"/>
      <c r="B15" s="32"/>
      <c r="C15" s="32"/>
      <c r="D15" s="71" t="s">
        <v>54</v>
      </c>
      <c r="E15" s="71" t="s">
        <v>53</v>
      </c>
      <c r="F15" s="71" t="s">
        <v>51</v>
      </c>
      <c r="G15" s="71" t="s">
        <v>44</v>
      </c>
      <c r="H15" s="71" t="s">
        <v>46</v>
      </c>
      <c r="I15" s="71" t="s">
        <v>149</v>
      </c>
      <c r="J15" s="71"/>
      <c r="K15" s="71" t="s">
        <v>168</v>
      </c>
      <c r="L15" s="71"/>
      <c r="M15" s="99"/>
    </row>
    <row r="16" spans="1:13" x14ac:dyDescent="0.3">
      <c r="A16" s="32"/>
      <c r="B16" s="32"/>
      <c r="C16" s="32"/>
      <c r="D16" s="71" t="s">
        <v>55</v>
      </c>
      <c r="E16" s="71" t="s">
        <v>55</v>
      </c>
      <c r="F16" s="71" t="s">
        <v>52</v>
      </c>
      <c r="G16" s="71" t="s">
        <v>182</v>
      </c>
      <c r="H16" s="71" t="s">
        <v>182</v>
      </c>
      <c r="I16" s="85" t="s">
        <v>131</v>
      </c>
      <c r="J16" s="85" t="s">
        <v>132</v>
      </c>
      <c r="K16" s="85" t="s">
        <v>131</v>
      </c>
      <c r="L16" s="85" t="s">
        <v>132</v>
      </c>
      <c r="M16" s="99" t="str">
        <f>IF(F17&lt;1.6,"for lavt foderforbrug"," ")</f>
        <v xml:space="preserve"> </v>
      </c>
    </row>
    <row r="17" spans="1:13" x14ac:dyDescent="0.3">
      <c r="A17" s="32" t="s">
        <v>154</v>
      </c>
      <c r="B17" s="32"/>
      <c r="C17" s="32"/>
      <c r="D17" s="28">
        <v>6.7</v>
      </c>
      <c r="E17" s="28">
        <v>31</v>
      </c>
      <c r="F17" s="28">
        <v>1.89</v>
      </c>
      <c r="G17" s="28">
        <v>165.2</v>
      </c>
      <c r="H17" s="28">
        <v>5.2</v>
      </c>
      <c r="I17" s="112">
        <f>'beregninger med detaljer'!H11</f>
        <v>1.0002212526315792</v>
      </c>
      <c r="J17" s="112">
        <f>'beregninger med detaljer'!J11</f>
        <v>0.99890009999999996</v>
      </c>
      <c r="K17" s="111">
        <f>IF(G17=0,"ingen",'beregninger med detaljer'!I11)</f>
        <v>1.0004683452631575</v>
      </c>
      <c r="L17" s="111">
        <f>IF(H17=0,"ingen",'beregninger med detaljer'!K11)</f>
        <v>0.99792000000000025</v>
      </c>
      <c r="M17" s="99" t="str">
        <f>IF(G17=0," ",IF(G17&lt;140,"for lav råprotein"," "))</f>
        <v xml:space="preserve"> </v>
      </c>
    </row>
    <row r="18" spans="1:13" x14ac:dyDescent="0.3">
      <c r="A18" s="32" t="s">
        <v>155</v>
      </c>
      <c r="B18" s="32"/>
      <c r="C18" s="32"/>
      <c r="D18" s="63">
        <v>6.7</v>
      </c>
      <c r="E18" s="63">
        <v>31</v>
      </c>
      <c r="F18" s="63">
        <v>1.89</v>
      </c>
      <c r="G18" s="63">
        <v>165.2</v>
      </c>
      <c r="H18" s="63">
        <v>5.2</v>
      </c>
      <c r="I18" s="12"/>
      <c r="J18" s="12"/>
      <c r="K18" s="92" t="str">
        <f>IF(K17&lt;0,"skal være &gt; 0"," ")</f>
        <v xml:space="preserve"> </v>
      </c>
      <c r="L18" s="92" t="str">
        <f>IF(L17&lt;0,"skal være &gt; 0"," ")</f>
        <v xml:space="preserve"> </v>
      </c>
      <c r="M18" s="99" t="str">
        <f>IF(H17=0," ",IF(H17&lt;4,"for lav fosfor, smågrise"," "))</f>
        <v xml:space="preserve"> </v>
      </c>
    </row>
    <row r="19" spans="1:13" ht="15" x14ac:dyDescent="0.25">
      <c r="A19" s="32" t="s">
        <v>208</v>
      </c>
      <c r="B19" s="32"/>
      <c r="C19" s="32"/>
      <c r="D19" s="28">
        <v>31</v>
      </c>
      <c r="E19" s="28">
        <v>113</v>
      </c>
      <c r="F19" s="28">
        <v>2.7</v>
      </c>
      <c r="G19" s="28">
        <v>148</v>
      </c>
      <c r="H19" s="28">
        <v>4.3</v>
      </c>
      <c r="I19" s="112">
        <f>'beregninger med detaljer'!H13</f>
        <v>1.0000381955877513</v>
      </c>
      <c r="J19" s="112">
        <f>'beregninger med detaljer'!J13</f>
        <v>1.0000267071320179</v>
      </c>
      <c r="K19" s="111">
        <f>IF(G19=0,"ingen",'beregninger med detaljer'!I13)</f>
        <v>0.92708330589397447</v>
      </c>
      <c r="L19" s="111">
        <f>IF(H19=0,"ingen",'beregninger med detaljer'!K13)</f>
        <v>0.76027314112291355</v>
      </c>
      <c r="M19" s="99" t="str">
        <f>IF(D19&lt;25,"startvægt minimum 25 kg, inddater smågrise og slagtesvin separat"," ")</f>
        <v xml:space="preserve"> </v>
      </c>
    </row>
    <row r="20" spans="1:13" ht="15" x14ac:dyDescent="0.25">
      <c r="A20" s="32" t="s">
        <v>156</v>
      </c>
      <c r="B20" s="32"/>
      <c r="C20" s="32"/>
      <c r="D20" s="63">
        <v>31</v>
      </c>
      <c r="E20" s="63">
        <v>113</v>
      </c>
      <c r="F20" s="63">
        <v>2.82</v>
      </c>
      <c r="G20" s="63">
        <v>147.69999999999999</v>
      </c>
      <c r="H20" s="63">
        <v>4.8</v>
      </c>
      <c r="I20" s="10"/>
      <c r="J20" s="10"/>
      <c r="K20" s="83" t="str">
        <f>IF(K19&lt;0,"skal være &gt; 0"," ")</f>
        <v xml:space="preserve"> </v>
      </c>
      <c r="L20" s="84" t="str">
        <f>IF(L19&lt;0,"skal være &gt; 0"," ")</f>
        <v xml:space="preserve"> </v>
      </c>
      <c r="M20" s="99" t="str">
        <f>IF(D19&lt;25,"brug af type 2 til FRATS mangler afklaring af regler for P-loft-beregning"," ")</f>
        <v xml:space="preserve"> </v>
      </c>
    </row>
    <row r="21" spans="1:13" ht="15" x14ac:dyDescent="0.25">
      <c r="A21" s="69" t="s">
        <v>183</v>
      </c>
      <c r="B21" s="69"/>
      <c r="C21" s="69"/>
      <c r="D21" s="69"/>
      <c r="E21" s="69"/>
      <c r="F21" s="27">
        <v>4</v>
      </c>
      <c r="G21" s="69"/>
      <c r="H21" s="69" t="s">
        <v>150</v>
      </c>
      <c r="I21" s="69"/>
      <c r="J21" s="69"/>
      <c r="K21" s="69"/>
      <c r="L21" s="69"/>
      <c r="M21" s="99" t="str">
        <f>IF(F19&lt;2.5,"for lavt foderforbrug"," ")</f>
        <v xml:space="preserve"> </v>
      </c>
    </row>
    <row r="22" spans="1:13" x14ac:dyDescent="0.3">
      <c r="A22" s="69" t="s">
        <v>152</v>
      </c>
      <c r="B22" s="69"/>
      <c r="C22" s="69"/>
      <c r="D22" s="69"/>
      <c r="E22" s="69"/>
      <c r="F22" s="27">
        <v>0</v>
      </c>
      <c r="G22" s="69"/>
      <c r="H22" s="69" t="s">
        <v>146</v>
      </c>
      <c r="I22" s="69"/>
      <c r="J22" s="69"/>
      <c r="K22" s="60">
        <f>'beregninger med detaljer'!T9</f>
        <v>0</v>
      </c>
      <c r="L22" s="69"/>
    </row>
    <row r="23" spans="1:13" x14ac:dyDescent="0.3">
      <c r="A23" s="69" t="s">
        <v>198</v>
      </c>
      <c r="B23" s="69"/>
      <c r="C23" s="69"/>
      <c r="D23" s="69"/>
      <c r="E23" s="69"/>
      <c r="F23" s="27">
        <v>0</v>
      </c>
      <c r="G23" s="116">
        <f>F23/100</f>
        <v>0</v>
      </c>
      <c r="H23" s="114" t="s">
        <v>204</v>
      </c>
      <c r="I23" s="114"/>
      <c r="J23" s="114"/>
      <c r="K23" s="115"/>
      <c r="L23" s="69"/>
    </row>
    <row r="24" spans="1:13" x14ac:dyDescent="0.3">
      <c r="A24" s="71" t="s">
        <v>134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pans="1:13" x14ac:dyDescent="0.3">
      <c r="A25" s="71" t="s">
        <v>133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</row>
    <row r="26" spans="1:13" x14ac:dyDescent="0.3">
      <c r="A26" s="32"/>
      <c r="B26" s="32"/>
      <c r="C26" s="32"/>
      <c r="D26" s="32"/>
      <c r="E26" s="71" t="s">
        <v>163</v>
      </c>
      <c r="F26" s="40" t="s">
        <v>178</v>
      </c>
      <c r="G26" s="40"/>
      <c r="H26" s="78" t="s">
        <v>177</v>
      </c>
      <c r="I26" s="78"/>
      <c r="J26" s="30" t="s">
        <v>171</v>
      </c>
      <c r="K26" s="30"/>
      <c r="L26" s="30"/>
    </row>
    <row r="27" spans="1:13" ht="15" x14ac:dyDescent="0.25">
      <c r="A27" s="32"/>
      <c r="B27" s="32"/>
      <c r="C27" s="32"/>
      <c r="D27" s="32"/>
      <c r="E27" s="71"/>
      <c r="F27" s="81" t="s">
        <v>85</v>
      </c>
      <c r="G27" s="40" t="s">
        <v>148</v>
      </c>
      <c r="H27" s="94" t="s">
        <v>85</v>
      </c>
      <c r="I27" s="78" t="s">
        <v>148</v>
      </c>
      <c r="J27" s="30" t="s">
        <v>141</v>
      </c>
      <c r="K27" s="30"/>
      <c r="L27" s="30"/>
    </row>
    <row r="28" spans="1:13" ht="15" x14ac:dyDescent="0.25">
      <c r="A28" s="32" t="s">
        <v>15</v>
      </c>
      <c r="B28" s="32"/>
      <c r="C28" s="32"/>
      <c r="D28" s="32"/>
      <c r="E28" s="28">
        <v>0</v>
      </c>
      <c r="F28" s="79">
        <f>'beregninger med detaljer'!L18</f>
        <v>0</v>
      </c>
      <c r="G28" s="11" t="str">
        <f>IF(E28&gt;0,IF($G$13=0,"normtal","egne tal")," ")</f>
        <v xml:space="preserve"> </v>
      </c>
      <c r="H28" s="95">
        <f>'beregninger med detaljer'!M18</f>
        <v>0</v>
      </c>
      <c r="I28" s="97" t="str">
        <f>IF(E28&gt;0,IF($H$13=0,"normtal","egne tal")," ")</f>
        <v xml:space="preserve"> </v>
      </c>
      <c r="J28" s="30" t="s">
        <v>142</v>
      </c>
      <c r="K28" s="30"/>
      <c r="L28" s="30"/>
    </row>
    <row r="29" spans="1:13" x14ac:dyDescent="0.3">
      <c r="A29" s="32" t="s">
        <v>16</v>
      </c>
      <c r="B29" s="32"/>
      <c r="C29" s="32"/>
      <c r="D29" s="32"/>
      <c r="E29" s="28">
        <v>0</v>
      </c>
      <c r="F29" s="79">
        <f>'beregninger med detaljer'!L19</f>
        <v>0</v>
      </c>
      <c r="G29" s="11" t="str">
        <f t="shared" ref="G29:G38" si="0">IF(E29&gt;0,IF($G$13=0,"normtal","egne tal")," ")</f>
        <v xml:space="preserve"> </v>
      </c>
      <c r="H29" s="95">
        <f>'beregninger med detaljer'!M19</f>
        <v>0</v>
      </c>
      <c r="I29" s="97" t="str">
        <f>IF(E29&gt;0,IF($H$13=0,"normtal","egne tal")," ")</f>
        <v xml:space="preserve"> </v>
      </c>
      <c r="J29" s="30">
        <f>E17</f>
        <v>31</v>
      </c>
      <c r="K29" s="30" t="s">
        <v>160</v>
      </c>
      <c r="L29" s="30"/>
    </row>
    <row r="30" spans="1:13" x14ac:dyDescent="0.3">
      <c r="A30" s="71" t="s">
        <v>40</v>
      </c>
      <c r="B30" s="32"/>
      <c r="C30" s="32"/>
      <c r="D30" s="32"/>
      <c r="E30" s="14">
        <f>SUM(E28:E29)</f>
        <v>0</v>
      </c>
      <c r="F30" s="80">
        <f>F28+F29</f>
        <v>0</v>
      </c>
      <c r="G30" s="11" t="str">
        <f t="shared" si="0"/>
        <v xml:space="preserve"> </v>
      </c>
      <c r="H30" s="96">
        <f>H28+H29</f>
        <v>0</v>
      </c>
      <c r="I30" s="97" t="str">
        <f>IF(E30&gt;0,IF($H$13=0,"normtal","egne tal")," ")</f>
        <v xml:space="preserve"> </v>
      </c>
      <c r="J30" s="30" t="s">
        <v>161</v>
      </c>
      <c r="K30" s="30"/>
      <c r="L30" s="30"/>
    </row>
    <row r="31" spans="1:13" ht="15" x14ac:dyDescent="0.25">
      <c r="A31" s="32" t="s">
        <v>17</v>
      </c>
      <c r="B31" s="32"/>
      <c r="C31" s="32"/>
      <c r="D31" s="32"/>
      <c r="E31" s="28">
        <v>0</v>
      </c>
      <c r="F31" s="79">
        <f>'beregninger med detaljer'!L21</f>
        <v>0</v>
      </c>
      <c r="G31" s="11" t="str">
        <f t="shared" si="0"/>
        <v xml:space="preserve"> </v>
      </c>
      <c r="H31" s="95">
        <f>'beregninger med detaljer'!M21</f>
        <v>0</v>
      </c>
      <c r="I31" s="97" t="str">
        <f>IF(E31&gt;0,IF($H$13=0,"normtal","egne tal")," ")</f>
        <v xml:space="preserve"> </v>
      </c>
      <c r="J31" s="30" t="s">
        <v>143</v>
      </c>
      <c r="K31" s="30"/>
      <c r="L31" s="30"/>
    </row>
    <row r="32" spans="1:13" x14ac:dyDescent="0.3">
      <c r="A32" s="32" t="s">
        <v>18</v>
      </c>
      <c r="B32" s="32"/>
      <c r="C32" s="32"/>
      <c r="D32" s="32"/>
      <c r="E32" s="28"/>
      <c r="F32" s="79">
        <f>'beregninger med detaljer'!L22</f>
        <v>0</v>
      </c>
      <c r="G32" s="11" t="str">
        <f t="shared" si="0"/>
        <v xml:space="preserve"> </v>
      </c>
      <c r="H32" s="95">
        <f>'beregninger med detaljer'!M22</f>
        <v>0</v>
      </c>
      <c r="I32" s="97" t="str">
        <f t="shared" ref="I32:I38" si="1">IF(E32&gt;0,IF($H$13=0,"normtal","egne tal")," ")</f>
        <v xml:space="preserve"> </v>
      </c>
      <c r="J32" s="30"/>
      <c r="K32" s="89" t="str">
        <f>IF(E45&gt;0,'beregninger med detaljer'!Q15,"ingen smågrise")</f>
        <v>ingen smågrise</v>
      </c>
      <c r="L32" s="30"/>
    </row>
    <row r="33" spans="1:12" x14ac:dyDescent="0.3">
      <c r="A33" s="32" t="s">
        <v>63</v>
      </c>
      <c r="B33" s="32"/>
      <c r="C33" s="32"/>
      <c r="D33" s="32"/>
      <c r="E33" s="28"/>
      <c r="F33" s="79">
        <f>'beregninger med detaljer'!L23</f>
        <v>0</v>
      </c>
      <c r="G33" s="11" t="str">
        <f t="shared" si="0"/>
        <v xml:space="preserve"> </v>
      </c>
      <c r="H33" s="95">
        <f>'beregninger med detaljer'!M23</f>
        <v>0</v>
      </c>
      <c r="I33" s="97" t="str">
        <f t="shared" si="1"/>
        <v xml:space="preserve"> </v>
      </c>
      <c r="J33" s="30"/>
      <c r="K33" s="30"/>
      <c r="L33" s="30"/>
    </row>
    <row r="34" spans="1:12" x14ac:dyDescent="0.3">
      <c r="A34" s="32" t="s">
        <v>64</v>
      </c>
      <c r="B34" s="32"/>
      <c r="C34" s="32"/>
      <c r="D34" s="32"/>
      <c r="E34" s="28"/>
      <c r="F34" s="79">
        <f>'beregninger med detaljer'!L24</f>
        <v>0</v>
      </c>
      <c r="G34" s="11" t="str">
        <f t="shared" si="0"/>
        <v xml:space="preserve"> </v>
      </c>
      <c r="H34" s="95">
        <f>'beregninger med detaljer'!M24</f>
        <v>0</v>
      </c>
      <c r="I34" s="97" t="str">
        <f t="shared" si="1"/>
        <v xml:space="preserve"> </v>
      </c>
      <c r="J34" s="30"/>
      <c r="K34" s="30"/>
      <c r="L34" s="30"/>
    </row>
    <row r="35" spans="1:12" x14ac:dyDescent="0.3">
      <c r="A35" s="32" t="s">
        <v>65</v>
      </c>
      <c r="B35" s="32"/>
      <c r="C35" s="32"/>
      <c r="D35" s="32"/>
      <c r="E35" s="28"/>
      <c r="F35" s="79">
        <f>'beregninger med detaljer'!L25</f>
        <v>0</v>
      </c>
      <c r="G35" s="11" t="str">
        <f t="shared" si="0"/>
        <v xml:space="preserve"> </v>
      </c>
      <c r="H35" s="95">
        <f>'beregninger med detaljer'!M25</f>
        <v>0</v>
      </c>
      <c r="I35" s="97" t="str">
        <f t="shared" si="1"/>
        <v xml:space="preserve"> </v>
      </c>
      <c r="J35" s="30"/>
      <c r="K35" s="30"/>
      <c r="L35" s="30"/>
    </row>
    <row r="36" spans="1:12" x14ac:dyDescent="0.3">
      <c r="A36" s="32" t="s">
        <v>66</v>
      </c>
      <c r="B36" s="32"/>
      <c r="C36" s="32"/>
      <c r="D36" s="32"/>
      <c r="E36" s="28"/>
      <c r="F36" s="79">
        <f>'beregninger med detaljer'!L26</f>
        <v>0</v>
      </c>
      <c r="G36" s="11" t="str">
        <f t="shared" si="0"/>
        <v xml:space="preserve"> </v>
      </c>
      <c r="H36" s="95">
        <f>'beregninger med detaljer'!M26</f>
        <v>0</v>
      </c>
      <c r="I36" s="97" t="str">
        <f t="shared" si="1"/>
        <v xml:space="preserve"> </v>
      </c>
      <c r="J36" s="30" t="s">
        <v>144</v>
      </c>
      <c r="K36" s="30"/>
      <c r="L36" s="30"/>
    </row>
    <row r="37" spans="1:12" x14ac:dyDescent="0.3">
      <c r="A37" s="77" t="s">
        <v>67</v>
      </c>
      <c r="B37" s="32"/>
      <c r="C37" s="32"/>
      <c r="D37" s="32"/>
      <c r="E37" s="28">
        <v>0</v>
      </c>
      <c r="F37" s="79">
        <f>'beregninger med detaljer'!L27</f>
        <v>0</v>
      </c>
      <c r="G37" s="11" t="str">
        <f t="shared" si="0"/>
        <v xml:space="preserve"> </v>
      </c>
      <c r="H37" s="95">
        <f>'beregninger med detaljer'!M27</f>
        <v>0</v>
      </c>
      <c r="I37" s="97" t="str">
        <f t="shared" si="1"/>
        <v xml:space="preserve"> </v>
      </c>
      <c r="J37" s="30" t="s">
        <v>145</v>
      </c>
      <c r="K37" s="30"/>
      <c r="L37" s="30"/>
    </row>
    <row r="38" spans="1:12" x14ac:dyDescent="0.3">
      <c r="A38" s="71" t="s">
        <v>68</v>
      </c>
      <c r="B38" s="71"/>
      <c r="C38" s="32"/>
      <c r="D38" s="32"/>
      <c r="E38" s="14">
        <f>SUM(E31:E37)</f>
        <v>0</v>
      </c>
      <c r="F38" s="80">
        <f>SUM(F31:F37)</f>
        <v>0</v>
      </c>
      <c r="G38" s="11" t="str">
        <f t="shared" si="0"/>
        <v xml:space="preserve"> </v>
      </c>
      <c r="H38" s="96">
        <f>SUM(H31:H37)</f>
        <v>0</v>
      </c>
      <c r="I38" s="97" t="str">
        <f t="shared" si="1"/>
        <v xml:space="preserve"> </v>
      </c>
      <c r="J38" s="30" t="s">
        <v>162</v>
      </c>
      <c r="K38" s="30"/>
      <c r="L38" s="30"/>
    </row>
    <row r="39" spans="1:12" x14ac:dyDescent="0.3">
      <c r="A39" s="71" t="s">
        <v>151</v>
      </c>
      <c r="B39" s="71"/>
      <c r="C39" s="32"/>
      <c r="D39" s="32"/>
      <c r="E39" s="82" t="str">
        <f>IF(E30=E38," ","husk samme antal løbe-dr og farestald!")</f>
        <v xml:space="preserve"> </v>
      </c>
      <c r="F39" s="80">
        <f>'beregninger med detaljer'!L28</f>
        <v>0</v>
      </c>
      <c r="G39" s="11" t="str">
        <f>IF(E38,IF($G$13=0,"normtal","egne tal")," ")</f>
        <v xml:space="preserve"> </v>
      </c>
      <c r="H39" s="96">
        <f>'beregninger med detaljer'!M28</f>
        <v>0</v>
      </c>
      <c r="I39" s="97" t="str">
        <f>IF(E38&gt;0,IF($H$13=0,"normtal","egne tal")," ")</f>
        <v xml:space="preserve"> </v>
      </c>
      <c r="J39" s="30" t="s">
        <v>179</v>
      </c>
      <c r="K39" s="30"/>
      <c r="L39" s="30"/>
    </row>
    <row r="40" spans="1:12" x14ac:dyDescent="0.3">
      <c r="A40" s="72"/>
      <c r="B40" s="72"/>
      <c r="C40" s="10"/>
      <c r="D40" s="10"/>
      <c r="E40" s="90"/>
      <c r="F40" s="91"/>
      <c r="G40" s="10"/>
      <c r="H40" s="91"/>
      <c r="I40" s="73"/>
      <c r="J40" s="10"/>
      <c r="K40" s="10"/>
      <c r="L40" s="10"/>
    </row>
    <row r="41" spans="1:12" x14ac:dyDescent="0.3">
      <c r="A41" s="32" t="s">
        <v>69</v>
      </c>
      <c r="B41" s="32"/>
      <c r="C41" s="32"/>
      <c r="D41" s="32"/>
      <c r="E41" s="28">
        <v>0</v>
      </c>
      <c r="F41" s="79">
        <f>'beregninger med detaljer'!L29</f>
        <v>0</v>
      </c>
      <c r="G41" s="11" t="str">
        <f>IF(E41&gt;0,IF($G$17=0,"normtal","egne tal")," ")</f>
        <v xml:space="preserve"> </v>
      </c>
      <c r="H41" s="95">
        <f>'beregninger med detaljer'!M29</f>
        <v>0</v>
      </c>
      <c r="I41" s="97" t="str">
        <f>IF(E41&gt;0,IF($H$17=0,"normtal","egne tal")," ")</f>
        <v xml:space="preserve"> </v>
      </c>
      <c r="J41" s="30"/>
      <c r="K41" s="98">
        <f>'beregninger med detaljer'!N29</f>
        <v>0</v>
      </c>
      <c r="L41" s="30"/>
    </row>
    <row r="42" spans="1:12" x14ac:dyDescent="0.3">
      <c r="A42" s="32" t="s">
        <v>19</v>
      </c>
      <c r="B42" s="32"/>
      <c r="C42" s="32"/>
      <c r="D42" s="32"/>
      <c r="E42" s="28"/>
      <c r="F42" s="79">
        <f>'beregninger med detaljer'!L30</f>
        <v>0</v>
      </c>
      <c r="G42" s="11" t="str">
        <f t="shared" ref="G42:G45" si="2">IF(E42&gt;0,IF($G$17=0,"normtal","egne tal")," ")</f>
        <v xml:space="preserve"> </v>
      </c>
      <c r="H42" s="95">
        <f>'beregninger med detaljer'!M30</f>
        <v>0</v>
      </c>
      <c r="I42" s="97" t="str">
        <f t="shared" ref="I42:I45" si="3">IF(E42&gt;0,IF($H$17=0,"normtal","egne tal")," ")</f>
        <v xml:space="preserve"> </v>
      </c>
      <c r="J42" s="30"/>
      <c r="K42" s="98">
        <f>'beregninger med detaljer'!N30</f>
        <v>0</v>
      </c>
      <c r="L42" s="30"/>
    </row>
    <row r="43" spans="1:12" x14ac:dyDescent="0.3">
      <c r="A43" s="32" t="s">
        <v>70</v>
      </c>
      <c r="B43" s="32"/>
      <c r="C43" s="32"/>
      <c r="D43" s="32"/>
      <c r="E43" s="28"/>
      <c r="F43" s="79">
        <f>'beregninger med detaljer'!L31</f>
        <v>0</v>
      </c>
      <c r="G43" s="11" t="str">
        <f t="shared" si="2"/>
        <v xml:space="preserve"> </v>
      </c>
      <c r="H43" s="95">
        <f>'beregninger med detaljer'!M31</f>
        <v>0</v>
      </c>
      <c r="I43" s="97" t="str">
        <f t="shared" si="3"/>
        <v xml:space="preserve"> </v>
      </c>
      <c r="J43" s="30"/>
      <c r="K43" s="98">
        <f>'beregninger med detaljer'!N31</f>
        <v>0</v>
      </c>
      <c r="L43" s="30"/>
    </row>
    <row r="44" spans="1:12" x14ac:dyDescent="0.3">
      <c r="A44" s="32" t="s">
        <v>20</v>
      </c>
      <c r="B44" s="32"/>
      <c r="C44" s="32"/>
      <c r="D44" s="32"/>
      <c r="E44" s="28"/>
      <c r="F44" s="79">
        <f>'beregninger med detaljer'!L32</f>
        <v>0</v>
      </c>
      <c r="G44" s="11" t="str">
        <f t="shared" si="2"/>
        <v xml:space="preserve"> </v>
      </c>
      <c r="H44" s="95">
        <f>'beregninger med detaljer'!M32</f>
        <v>0</v>
      </c>
      <c r="I44" s="97" t="str">
        <f t="shared" si="3"/>
        <v xml:space="preserve"> </v>
      </c>
      <c r="J44" s="30"/>
      <c r="K44" s="98">
        <f>'beregninger med detaljer'!N32</f>
        <v>0</v>
      </c>
      <c r="L44" s="30"/>
    </row>
    <row r="45" spans="1:12" x14ac:dyDescent="0.3">
      <c r="A45" s="71" t="s">
        <v>27</v>
      </c>
      <c r="B45" s="32"/>
      <c r="C45" s="32"/>
      <c r="D45" s="32"/>
      <c r="E45" s="14">
        <f>SUM(E41:E44)</f>
        <v>0</v>
      </c>
      <c r="F45" s="79">
        <f>'beregninger med detaljer'!L33</f>
        <v>0</v>
      </c>
      <c r="G45" s="11" t="str">
        <f t="shared" si="2"/>
        <v xml:space="preserve"> </v>
      </c>
      <c r="H45" s="95">
        <f>'beregninger med detaljer'!M33</f>
        <v>0</v>
      </c>
      <c r="I45" s="97" t="str">
        <f t="shared" si="3"/>
        <v xml:space="preserve"> </v>
      </c>
      <c r="J45" s="30"/>
      <c r="K45" s="93">
        <f>'beregninger med detaljer'!N33</f>
        <v>0</v>
      </c>
      <c r="L45" s="30"/>
    </row>
    <row r="46" spans="1:12" x14ac:dyDescent="0.3">
      <c r="A46" s="117" t="s">
        <v>209</v>
      </c>
      <c r="B46" s="117"/>
      <c r="C46" s="117"/>
      <c r="D46" s="117"/>
      <c r="E46" s="118"/>
      <c r="F46" s="119"/>
      <c r="G46" s="117"/>
      <c r="H46" s="118"/>
      <c r="I46" s="120"/>
      <c r="J46" s="117"/>
      <c r="K46" s="117"/>
      <c r="L46" s="117"/>
    </row>
    <row r="47" spans="1:12" x14ac:dyDescent="0.3">
      <c r="A47" s="32" t="s">
        <v>21</v>
      </c>
      <c r="B47" s="32"/>
      <c r="C47" s="32"/>
      <c r="D47" s="32"/>
      <c r="E47" s="28"/>
      <c r="F47" s="79">
        <f>'beregninger med detaljer'!L34</f>
        <v>0</v>
      </c>
      <c r="G47" s="11" t="str">
        <f>IF(E47&gt;0,IF($G$19=0,"normtal","egne tal")," ")</f>
        <v xml:space="preserve"> </v>
      </c>
      <c r="H47" s="95">
        <f>'beregninger med detaljer'!M34</f>
        <v>0</v>
      </c>
      <c r="I47" s="97" t="str">
        <f>IF(E47&gt;0,IF($H$19=0,"normtal","egne tal")," ")</f>
        <v xml:space="preserve"> </v>
      </c>
      <c r="J47" s="30" t="s">
        <v>172</v>
      </c>
      <c r="K47" s="30"/>
      <c r="L47" s="30"/>
    </row>
    <row r="48" spans="1:12" x14ac:dyDescent="0.3">
      <c r="A48" s="32" t="s">
        <v>22</v>
      </c>
      <c r="B48" s="32"/>
      <c r="C48" s="32"/>
      <c r="D48" s="32"/>
      <c r="E48" s="28">
        <v>0</v>
      </c>
      <c r="F48" s="79">
        <f>'beregninger med detaljer'!L35</f>
        <v>0</v>
      </c>
      <c r="G48" s="11" t="str">
        <f t="shared" ref="G48:G53" si="4">IF(E48&gt;0,IF($G$19=0,"normtal","egne tal")," ")</f>
        <v xml:space="preserve"> </v>
      </c>
      <c r="H48" s="95">
        <f>'beregninger med detaljer'!M35</f>
        <v>0</v>
      </c>
      <c r="I48" s="97" t="str">
        <f t="shared" ref="I48:I53" si="5">IF(E48&gt;0,IF($H$19=0,"normtal","egne tal")," ")</f>
        <v xml:space="preserve"> </v>
      </c>
      <c r="J48" s="30" t="s">
        <v>175</v>
      </c>
      <c r="K48" s="30"/>
      <c r="L48" s="30"/>
    </row>
    <row r="49" spans="1:12" x14ac:dyDescent="0.3">
      <c r="A49" s="32" t="s">
        <v>23</v>
      </c>
      <c r="B49" s="32"/>
      <c r="C49" s="32"/>
      <c r="D49" s="32"/>
      <c r="E49" s="28">
        <v>10000</v>
      </c>
      <c r="F49" s="79">
        <f>'beregninger med detaljer'!L36</f>
        <v>23918.749292064542</v>
      </c>
      <c r="G49" s="11" t="str">
        <f t="shared" si="4"/>
        <v>egne tal</v>
      </c>
      <c r="H49" s="95">
        <f>'beregninger med detaljer'!M36</f>
        <v>5010.2000000000007</v>
      </c>
      <c r="I49" s="97" t="str">
        <f t="shared" si="5"/>
        <v>egne tal</v>
      </c>
      <c r="J49" s="30" t="s">
        <v>176</v>
      </c>
      <c r="K49" s="30"/>
      <c r="L49" s="30"/>
    </row>
    <row r="50" spans="1:12" x14ac:dyDescent="0.3">
      <c r="A50" s="32" t="s">
        <v>24</v>
      </c>
      <c r="B50" s="32"/>
      <c r="C50" s="32"/>
      <c r="D50" s="32"/>
      <c r="E50" s="28"/>
      <c r="F50" s="79">
        <f>'beregninger med detaljer'!L37</f>
        <v>0</v>
      </c>
      <c r="G50" s="11" t="str">
        <f t="shared" si="4"/>
        <v xml:space="preserve"> </v>
      </c>
      <c r="H50" s="95">
        <f>'beregninger med detaljer'!M37</f>
        <v>0</v>
      </c>
      <c r="I50" s="97" t="str">
        <f t="shared" si="5"/>
        <v xml:space="preserve"> </v>
      </c>
      <c r="J50" s="30" t="s">
        <v>173</v>
      </c>
      <c r="K50" s="30"/>
      <c r="L50" s="30"/>
    </row>
    <row r="51" spans="1:12" x14ac:dyDescent="0.3">
      <c r="A51" s="32" t="s">
        <v>71</v>
      </c>
      <c r="B51" s="32"/>
      <c r="C51" s="32"/>
      <c r="D51" s="32"/>
      <c r="E51" s="28"/>
      <c r="F51" s="79">
        <f>'beregninger med detaljer'!L38</f>
        <v>0</v>
      </c>
      <c r="G51" s="11" t="str">
        <f t="shared" si="4"/>
        <v xml:space="preserve"> </v>
      </c>
      <c r="H51" s="95">
        <f>'beregninger med detaljer'!M38</f>
        <v>0</v>
      </c>
      <c r="I51" s="97" t="str">
        <f t="shared" si="5"/>
        <v xml:space="preserve"> </v>
      </c>
      <c r="J51" s="30" t="s">
        <v>174</v>
      </c>
      <c r="K51" s="30"/>
      <c r="L51" s="30"/>
    </row>
    <row r="52" spans="1:12" x14ac:dyDescent="0.3">
      <c r="A52" s="32" t="s">
        <v>72</v>
      </c>
      <c r="B52" s="32"/>
      <c r="C52" s="32"/>
      <c r="D52" s="32"/>
      <c r="E52" s="28"/>
      <c r="F52" s="79">
        <f>'beregninger med detaljer'!L39</f>
        <v>0</v>
      </c>
      <c r="G52" s="11" t="str">
        <f t="shared" si="4"/>
        <v xml:space="preserve"> </v>
      </c>
      <c r="H52" s="95">
        <f>'beregninger med detaljer'!M39</f>
        <v>0</v>
      </c>
      <c r="I52" s="97" t="str">
        <f t="shared" si="5"/>
        <v xml:space="preserve"> </v>
      </c>
      <c r="J52" s="30" t="s">
        <v>169</v>
      </c>
      <c r="K52" s="30"/>
      <c r="L52" s="30"/>
    </row>
    <row r="53" spans="1:12" x14ac:dyDescent="0.3">
      <c r="A53" s="71" t="s">
        <v>73</v>
      </c>
      <c r="B53" s="32"/>
      <c r="C53" s="32"/>
      <c r="D53" s="32"/>
      <c r="E53" s="14">
        <f>SUM(E47:E52)</f>
        <v>10000</v>
      </c>
      <c r="F53" s="79">
        <f>'beregninger med detaljer'!L40</f>
        <v>23918.749292064542</v>
      </c>
      <c r="G53" s="11" t="str">
        <f t="shared" si="4"/>
        <v>egne tal</v>
      </c>
      <c r="H53" s="95">
        <f>'beregninger med detaljer'!M40</f>
        <v>5010.2000000000007</v>
      </c>
      <c r="I53" s="97" t="str">
        <f t="shared" si="5"/>
        <v>egne tal</v>
      </c>
      <c r="J53" s="30" t="s">
        <v>170</v>
      </c>
      <c r="K53" s="30"/>
      <c r="L53" s="30"/>
    </row>
    <row r="54" spans="1:12" x14ac:dyDescent="0.3">
      <c r="A54" s="3"/>
      <c r="E54" s="14"/>
    </row>
    <row r="55" spans="1:12" x14ac:dyDescent="0.3">
      <c r="A55" s="39" t="s">
        <v>190</v>
      </c>
      <c r="B55" s="39"/>
      <c r="C55" s="39"/>
      <c r="D55" s="66">
        <f>'beregninger med detaljer'!D41</f>
        <v>39</v>
      </c>
      <c r="E55" s="39" t="s">
        <v>85</v>
      </c>
      <c r="F55" s="2" t="s">
        <v>130</v>
      </c>
      <c r="G55" s="2"/>
      <c r="H55" s="2"/>
      <c r="I55" s="2"/>
      <c r="J55" s="2"/>
      <c r="K55" s="2"/>
      <c r="L55" s="2"/>
    </row>
    <row r="56" spans="1:12" x14ac:dyDescent="0.3">
      <c r="A56" s="11" t="s">
        <v>192</v>
      </c>
      <c r="B56" s="102">
        <f>D55</f>
        <v>39</v>
      </c>
      <c r="C56" s="11" t="s">
        <v>193</v>
      </c>
      <c r="D56" s="103">
        <f>'beregninger med detaljer'!D42</f>
        <v>128.4666666666667</v>
      </c>
      <c r="E56" s="11" t="s">
        <v>29</v>
      </c>
      <c r="F56" s="11" t="s">
        <v>191</v>
      </c>
      <c r="G56" s="11"/>
      <c r="H56" s="11"/>
      <c r="I56" s="11"/>
      <c r="J56" s="11"/>
      <c r="K56" s="11"/>
      <c r="L56" s="11"/>
    </row>
    <row r="57" spans="1:12" x14ac:dyDescent="0.3">
      <c r="A57" s="11" t="s">
        <v>194</v>
      </c>
      <c r="B57" s="11"/>
      <c r="C57" s="11"/>
      <c r="D57" s="103">
        <f>'beregninger med detaljer'!D43</f>
        <v>140.69852524743848</v>
      </c>
      <c r="E57" s="11" t="s">
        <v>29</v>
      </c>
      <c r="F57" s="11" t="s">
        <v>61</v>
      </c>
      <c r="G57" s="11"/>
      <c r="H57" s="11"/>
      <c r="I57" s="11"/>
      <c r="J57" s="11"/>
      <c r="K57" s="11"/>
      <c r="L57" s="11"/>
    </row>
    <row r="58" spans="1:12" x14ac:dyDescent="0.3">
      <c r="A58" s="11" t="s">
        <v>135</v>
      </c>
      <c r="B58" s="11"/>
      <c r="C58" s="11"/>
      <c r="D58" s="103">
        <f>'beregninger med detaljer'!D44</f>
        <v>0</v>
      </c>
      <c r="E58" s="11" t="s">
        <v>29</v>
      </c>
      <c r="F58" s="11" t="s">
        <v>31</v>
      </c>
      <c r="G58" s="11"/>
      <c r="H58" s="11"/>
      <c r="I58" s="11"/>
      <c r="J58" s="11"/>
      <c r="K58" s="11"/>
      <c r="L58" s="11"/>
    </row>
    <row r="59" spans="1:12" x14ac:dyDescent="0.3">
      <c r="A59" s="2" t="s">
        <v>81</v>
      </c>
      <c r="B59" s="2"/>
      <c r="C59" s="2"/>
      <c r="D59" s="66">
        <f>'beregninger med detaljer'!D45</f>
        <v>0</v>
      </c>
      <c r="E59" s="2" t="s">
        <v>82</v>
      </c>
      <c r="F59" s="2" t="s">
        <v>84</v>
      </c>
      <c r="G59" s="2"/>
      <c r="H59" s="2"/>
      <c r="I59" s="2"/>
      <c r="J59" s="2"/>
      <c r="K59" s="2"/>
      <c r="L59" s="2"/>
    </row>
  </sheetData>
  <sheetProtection algorithmName="SHA-512" hashValue="8kqSZnga82JO1Mrpqc5O9iHuunh3n24Typou6qdalpZWWxmj/6uiG+hPsIwSj7RmkcwE+SdMiWDtBSpNPZDuvQ==" saltValue="i8E/86S8VnYGGGxIT5XzTw==" spinCount="100000" sheet="1" objects="1" scenarios="1"/>
  <conditionalFormatting sqref="O46">
    <cfRule type="top10" dxfId="1" priority="2" percent="1" rank="35"/>
  </conditionalFormatting>
  <conditionalFormatting sqref="D56:D58">
    <cfRule type="top10" dxfId="0" priority="1" percent="1" rank="40"/>
  </conditionalFormatting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topLeftCell="A31" workbookViewId="0">
      <selection activeCell="F56" sqref="F56"/>
    </sheetView>
  </sheetViews>
  <sheetFormatPr defaultRowHeight="14.4" x14ac:dyDescent="0.3"/>
  <cols>
    <col min="5" max="6" width="10.33203125" customWidth="1"/>
    <col min="10" max="10" width="9.33203125" customWidth="1"/>
    <col min="12" max="12" width="9.44140625" bestFit="1" customWidth="1"/>
  </cols>
  <sheetData>
    <row r="1" spans="1:20" ht="21" x14ac:dyDescent="0.4">
      <c r="A1" s="58" t="s">
        <v>78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59"/>
      <c r="M1" s="38"/>
      <c r="N1" s="59"/>
      <c r="O1" s="38"/>
      <c r="P1" s="38"/>
      <c r="Q1" s="42" t="s">
        <v>41</v>
      </c>
      <c r="R1" s="31"/>
      <c r="S1" s="31"/>
      <c r="T1" s="31"/>
    </row>
    <row r="2" spans="1:20" ht="18" x14ac:dyDescent="0.35">
      <c r="A2" s="61" t="s">
        <v>91</v>
      </c>
      <c r="B2" s="61"/>
      <c r="C2" s="61"/>
      <c r="D2" s="61"/>
      <c r="E2" s="61"/>
      <c r="F2" s="61"/>
      <c r="G2" s="61"/>
      <c r="H2" s="48"/>
      <c r="I2" s="48"/>
      <c r="J2" s="59"/>
      <c r="K2" s="38"/>
      <c r="L2" s="38"/>
      <c r="M2" s="38"/>
      <c r="N2" s="59"/>
      <c r="O2" s="38"/>
      <c r="P2" s="38"/>
      <c r="Q2" s="31" t="s">
        <v>92</v>
      </c>
      <c r="R2" s="31"/>
      <c r="S2" s="31"/>
      <c r="T2" s="31"/>
    </row>
    <row r="3" spans="1:20" ht="15.6" x14ac:dyDescent="0.3">
      <c r="A3" s="62" t="s">
        <v>103</v>
      </c>
      <c r="B3" s="61"/>
      <c r="C3" s="61"/>
      <c r="D3" s="61"/>
      <c r="E3" s="61"/>
      <c r="F3" s="61"/>
      <c r="G3" s="61"/>
      <c r="H3" s="38"/>
      <c r="I3" s="38"/>
      <c r="J3" s="38"/>
      <c r="K3" s="48"/>
      <c r="L3" s="67"/>
      <c r="M3" s="38"/>
      <c r="N3" s="38"/>
      <c r="O3" s="38"/>
      <c r="P3" s="38"/>
      <c r="Q3" s="31" t="s">
        <v>86</v>
      </c>
      <c r="R3" s="31"/>
      <c r="S3" s="31"/>
      <c r="T3" s="31"/>
    </row>
    <row r="4" spans="1:20" ht="15.6" x14ac:dyDescent="0.3">
      <c r="A4" s="44" t="s">
        <v>0</v>
      </c>
      <c r="B4" s="7"/>
      <c r="C4" s="7" t="s">
        <v>59</v>
      </c>
      <c r="D4" s="7" t="s">
        <v>50</v>
      </c>
      <c r="E4" s="7" t="s">
        <v>48</v>
      </c>
      <c r="F4" s="7" t="s">
        <v>44</v>
      </c>
      <c r="G4" s="7" t="s">
        <v>46</v>
      </c>
      <c r="H4" s="46" t="s">
        <v>101</v>
      </c>
      <c r="I4" s="21"/>
      <c r="J4" s="41" t="s">
        <v>102</v>
      </c>
      <c r="K4" s="33"/>
      <c r="L4" s="54" t="s">
        <v>159</v>
      </c>
      <c r="M4" s="1"/>
      <c r="N4" s="1"/>
      <c r="O4" s="1"/>
      <c r="P4" s="1"/>
      <c r="Q4" s="2" t="s">
        <v>87</v>
      </c>
      <c r="R4" s="2"/>
      <c r="S4" s="2"/>
      <c r="T4" s="2"/>
    </row>
    <row r="5" spans="1:20" x14ac:dyDescent="0.3">
      <c r="A5" s="7"/>
      <c r="B5" s="7"/>
      <c r="C5" s="7" t="s">
        <v>2</v>
      </c>
      <c r="D5" s="7" t="s">
        <v>98</v>
      </c>
      <c r="E5" s="7" t="s">
        <v>49</v>
      </c>
      <c r="F5" s="7" t="s">
        <v>45</v>
      </c>
      <c r="G5" s="7" t="s">
        <v>47</v>
      </c>
      <c r="H5" s="21" t="s">
        <v>58</v>
      </c>
      <c r="I5" s="21" t="s">
        <v>4</v>
      </c>
      <c r="J5" s="33" t="s">
        <v>58</v>
      </c>
      <c r="K5" s="33" t="s">
        <v>4</v>
      </c>
      <c r="L5" s="65" t="s">
        <v>200</v>
      </c>
      <c r="M5" s="65"/>
      <c r="N5" s="32"/>
      <c r="O5" s="32"/>
      <c r="P5" s="32"/>
      <c r="Q5" s="2" t="s">
        <v>88</v>
      </c>
      <c r="R5" s="2"/>
      <c r="S5" s="2"/>
      <c r="T5" s="2"/>
    </row>
    <row r="6" spans="1:20" x14ac:dyDescent="0.3">
      <c r="A6" s="44"/>
      <c r="B6" s="7"/>
      <c r="C6" s="86">
        <f>'harmoni, inddatering + udskrift'!D13</f>
        <v>32.200000000000003</v>
      </c>
      <c r="D6" s="86">
        <f>'harmoni, inddatering + udskrift'!E13</f>
        <v>6.7</v>
      </c>
      <c r="E6" s="86">
        <f>'harmoni, inddatering + udskrift'!F13</f>
        <v>1484</v>
      </c>
      <c r="F6" s="86">
        <f>'harmoni, inddatering + udskrift'!G13</f>
        <v>0</v>
      </c>
      <c r="G6" s="86">
        <f>'harmoni, inddatering + udskrift'!H13</f>
        <v>0</v>
      </c>
      <c r="H6" s="104">
        <v>24.13</v>
      </c>
      <c r="I6" s="55">
        <f>IF(F6=0,0,($E6*$F6)/6250-1.98-($C6*$D6*0.0257))</f>
        <v>0</v>
      </c>
      <c r="J6" s="105">
        <v>4.96</v>
      </c>
      <c r="K6" s="56">
        <f>IF(G6=0,0,($E6*$G6)/1000-0.58-($C6*$D6*0.006))</f>
        <v>0</v>
      </c>
      <c r="L6" s="32" t="s">
        <v>94</v>
      </c>
      <c r="M6" s="32" t="s">
        <v>95</v>
      </c>
      <c r="N6" s="32" t="s">
        <v>97</v>
      </c>
      <c r="O6" s="32" t="s">
        <v>99</v>
      </c>
      <c r="P6" s="63" t="s">
        <v>96</v>
      </c>
      <c r="Q6" s="2" t="s">
        <v>126</v>
      </c>
      <c r="R6" s="2"/>
      <c r="S6" s="68"/>
      <c r="T6" s="88">
        <f>'harmoni, inddatering + udskrift'!F21</f>
        <v>4</v>
      </c>
    </row>
    <row r="7" spans="1:20" x14ac:dyDescent="0.3">
      <c r="A7" s="108" t="s">
        <v>199</v>
      </c>
      <c r="B7" s="7"/>
      <c r="C7" s="7"/>
      <c r="D7" s="7"/>
      <c r="E7" s="7"/>
      <c r="F7" s="7"/>
      <c r="G7" s="7"/>
      <c r="H7" s="21"/>
      <c r="I7" s="107">
        <f>I6/H6</f>
        <v>0</v>
      </c>
      <c r="J7" s="33"/>
      <c r="K7" s="106">
        <f>K6/J6</f>
        <v>0</v>
      </c>
      <c r="L7" s="63">
        <v>32.200000000000003</v>
      </c>
      <c r="M7" s="63">
        <v>6.7</v>
      </c>
      <c r="N7" s="63">
        <v>1484</v>
      </c>
      <c r="O7" s="63">
        <v>133.30000000000001</v>
      </c>
      <c r="P7" s="63">
        <v>4.5999999999999996</v>
      </c>
      <c r="Q7" s="2" t="s">
        <v>121</v>
      </c>
      <c r="R7" s="2"/>
      <c r="S7" s="39"/>
      <c r="T7" s="39">
        <f>IF(T6&gt;3.99,0,IF(T6&gt;3.49,1,IF(T6&gt;2.99,2,IF(T6&gt;2.74,4,IF(T6&gt;2.49,6,IF(T6&gt;2.24,8,IF(T6&gt;1.99,10,IF(T6&gt;1.74,12,IF(T6&gt;1.49,14,IF(T6&gt;1.24,16,18))))))))))</f>
        <v>0</v>
      </c>
    </row>
    <row r="8" spans="1:20" x14ac:dyDescent="0.3">
      <c r="A8" s="38"/>
      <c r="B8" s="38"/>
      <c r="C8" s="38" t="s">
        <v>54</v>
      </c>
      <c r="D8" s="38" t="s">
        <v>53</v>
      </c>
      <c r="E8" s="38" t="s">
        <v>51</v>
      </c>
      <c r="F8" s="38" t="s">
        <v>44</v>
      </c>
      <c r="G8" s="38" t="s">
        <v>46</v>
      </c>
      <c r="H8" s="47" t="s">
        <v>6</v>
      </c>
      <c r="I8" s="29"/>
      <c r="J8" s="43" t="s">
        <v>100</v>
      </c>
      <c r="K8" s="33"/>
      <c r="L8" s="32" t="s">
        <v>54</v>
      </c>
      <c r="M8" s="32" t="s">
        <v>53</v>
      </c>
      <c r="N8" s="32" t="s">
        <v>51</v>
      </c>
      <c r="O8" s="32" t="s">
        <v>44</v>
      </c>
      <c r="P8" s="32" t="s">
        <v>46</v>
      </c>
      <c r="Q8" s="2" t="s">
        <v>122</v>
      </c>
      <c r="R8" s="2"/>
      <c r="S8" s="2"/>
      <c r="T8" s="88">
        <f>'harmoni, inddatering + udskrift'!F22</f>
        <v>0</v>
      </c>
    </row>
    <row r="9" spans="1:20" x14ac:dyDescent="0.3">
      <c r="A9" s="38"/>
      <c r="B9" s="38"/>
      <c r="C9" s="38" t="s">
        <v>55</v>
      </c>
      <c r="D9" s="38" t="s">
        <v>55</v>
      </c>
      <c r="E9" s="38" t="s">
        <v>52</v>
      </c>
      <c r="F9" s="38" t="s">
        <v>47</v>
      </c>
      <c r="G9" s="38" t="s">
        <v>47</v>
      </c>
      <c r="H9" s="21" t="s">
        <v>3</v>
      </c>
      <c r="I9" s="21" t="s">
        <v>4</v>
      </c>
      <c r="J9" s="33" t="s">
        <v>3</v>
      </c>
      <c r="K9" s="33" t="s">
        <v>4</v>
      </c>
      <c r="L9" s="32" t="s">
        <v>55</v>
      </c>
      <c r="M9" s="32" t="s">
        <v>55</v>
      </c>
      <c r="N9" s="32" t="s">
        <v>52</v>
      </c>
      <c r="O9" s="32" t="s">
        <v>47</v>
      </c>
      <c r="P9" s="32" t="s">
        <v>47</v>
      </c>
      <c r="Q9" s="2" t="s">
        <v>125</v>
      </c>
      <c r="R9" s="2"/>
      <c r="S9" s="2"/>
      <c r="T9" s="39">
        <f>T7*(100-T8)/100</f>
        <v>0</v>
      </c>
    </row>
    <row r="10" spans="1:20" x14ac:dyDescent="0.3">
      <c r="A10" s="39" t="s">
        <v>42</v>
      </c>
      <c r="B10" s="2"/>
      <c r="C10" s="86">
        <f>'harmoni, inddatering + udskrift'!D17</f>
        <v>6.7</v>
      </c>
      <c r="D10" s="86">
        <f>'harmoni, inddatering + udskrift'!E17</f>
        <v>31</v>
      </c>
      <c r="E10" s="86">
        <f>'harmoni, inddatering + udskrift'!F17</f>
        <v>1.89</v>
      </c>
      <c r="F10" s="86">
        <f>'harmoni, inddatering + udskrift'!G17</f>
        <v>165.2</v>
      </c>
      <c r="G10" s="86">
        <f>'harmoni, inddatering + udskrift'!H17</f>
        <v>5.2</v>
      </c>
      <c r="H10" s="109">
        <f>(($D10-$C10)*(13.35+0.1645*($D10+$C10)))/1000</f>
        <v>0.47510509500000009</v>
      </c>
      <c r="I10" s="55">
        <f>IF(F10=0,0,(($D10-$C10)*$E10*$F10/6250-(($D10-$C10)*0.0304)))</f>
        <v>0.47522246399999979</v>
      </c>
      <c r="J10" s="110">
        <f>(($D10-$C10)*(3.832+0.0292*($D10+$C10)))/1000</f>
        <v>0.119868012</v>
      </c>
      <c r="K10" s="56">
        <f>IF(G10=0,0,(($D10-$C10)*$E10*$G10/1000-(($D10-$C10)*0.0049)))</f>
        <v>0.11975040000000002</v>
      </c>
      <c r="L10" s="63">
        <v>6.7</v>
      </c>
      <c r="M10" s="63">
        <v>31</v>
      </c>
      <c r="N10" s="63">
        <v>1.89</v>
      </c>
      <c r="O10" s="63">
        <v>165.2</v>
      </c>
      <c r="P10" s="63">
        <v>5.2</v>
      </c>
      <c r="Q10" s="2" t="s">
        <v>123</v>
      </c>
      <c r="R10" s="2"/>
      <c r="S10" s="2"/>
      <c r="T10" s="2"/>
    </row>
    <row r="11" spans="1:20" x14ac:dyDescent="0.3">
      <c r="A11" s="2" t="s">
        <v>104</v>
      </c>
      <c r="B11" s="2"/>
      <c r="C11" s="2"/>
      <c r="D11" s="2"/>
      <c r="E11" s="2"/>
      <c r="F11" s="2"/>
      <c r="G11" s="2"/>
      <c r="H11" s="107">
        <f>H10/0.475</f>
        <v>1.0002212526315792</v>
      </c>
      <c r="I11" s="107">
        <f>I10/0.475</f>
        <v>1.0004683452631575</v>
      </c>
      <c r="J11" s="106">
        <f>J10/0.12</f>
        <v>0.99890009999999996</v>
      </c>
      <c r="K11" s="106">
        <f>K10/0.12</f>
        <v>0.99792000000000025</v>
      </c>
      <c r="L11" s="64"/>
      <c r="M11" s="63"/>
      <c r="N11" s="63"/>
      <c r="O11" s="63"/>
      <c r="P11" s="63"/>
      <c r="Q11" s="2" t="s">
        <v>124</v>
      </c>
      <c r="R11" s="2"/>
      <c r="S11" s="2"/>
      <c r="T11" s="2"/>
    </row>
    <row r="12" spans="1:20" ht="15" x14ac:dyDescent="0.25">
      <c r="A12" s="40" t="s">
        <v>43</v>
      </c>
      <c r="B12" s="11"/>
      <c r="C12" s="86">
        <f>'harmoni, inddatering + udskrift'!D19</f>
        <v>31</v>
      </c>
      <c r="D12" s="86">
        <f>'harmoni, inddatering + udskrift'!E19</f>
        <v>113</v>
      </c>
      <c r="E12" s="86">
        <f>'harmoni, inddatering + udskrift'!F19</f>
        <v>2.7</v>
      </c>
      <c r="F12" s="86">
        <f>'harmoni, inddatering + udskrift'!G19</f>
        <v>148</v>
      </c>
      <c r="G12" s="86">
        <f>'harmoni, inddatering + udskrift'!H19</f>
        <v>4.3</v>
      </c>
      <c r="H12" s="109">
        <f>(($D12-$C12)*(13.35+0.1645*($D12+$C12)))/1000</f>
        <v>3.0371160000000006</v>
      </c>
      <c r="I12" s="109">
        <f>IF(F12=0,0,(($D12-$C12)*$E12*$F12/6250-(($D12-$C12)*0.0296)))</f>
        <v>2.8155520000000003</v>
      </c>
      <c r="J12" s="110">
        <f>(($D12-$C12)*(3.832+0.0292*($D12+$C12)))/1000</f>
        <v>0.65901759999999987</v>
      </c>
      <c r="K12" s="57">
        <f>IF(G12=0,0,(($D12-$C12)*$E12*$G12/1000-(($D12-$C12)*0.0055)))</f>
        <v>0.50102000000000002</v>
      </c>
      <c r="L12" s="63">
        <v>31</v>
      </c>
      <c r="M12" s="63">
        <v>113</v>
      </c>
      <c r="N12" s="63">
        <v>2.82</v>
      </c>
      <c r="O12" s="63">
        <v>147.69999999999999</v>
      </c>
      <c r="P12" s="63">
        <v>4.8</v>
      </c>
      <c r="Q12" s="8" t="s">
        <v>93</v>
      </c>
      <c r="R12" s="8"/>
      <c r="S12" s="8"/>
      <c r="T12" s="8"/>
    </row>
    <row r="13" spans="1:20" x14ac:dyDescent="0.3">
      <c r="A13" s="11" t="s">
        <v>105</v>
      </c>
      <c r="B13" s="11"/>
      <c r="C13" s="11"/>
      <c r="D13" s="11"/>
      <c r="E13" s="11"/>
      <c r="F13" s="11"/>
      <c r="G13" s="11"/>
      <c r="H13" s="107">
        <f>H12/3.037</f>
        <v>1.0000381955877513</v>
      </c>
      <c r="I13" s="107">
        <f>I12/3.037</f>
        <v>0.92708330589397447</v>
      </c>
      <c r="J13" s="106">
        <f>J12/0.659</f>
        <v>1.0000267071320179</v>
      </c>
      <c r="K13" s="106">
        <f>K12/0.659</f>
        <v>0.76027314112291355</v>
      </c>
      <c r="L13" s="32"/>
      <c r="M13" s="32"/>
      <c r="N13" s="32"/>
      <c r="O13" s="32"/>
      <c r="P13" s="32"/>
      <c r="Q13" s="8" t="s">
        <v>89</v>
      </c>
      <c r="R13" s="8"/>
      <c r="S13" s="8"/>
      <c r="T13" s="8"/>
    </row>
    <row r="14" spans="1:20" x14ac:dyDescent="0.3">
      <c r="A14" s="48" t="s">
        <v>7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8" t="s">
        <v>90</v>
      </c>
      <c r="R14" s="8"/>
      <c r="S14" s="8"/>
      <c r="T14" s="8"/>
    </row>
    <row r="15" spans="1:20" x14ac:dyDescent="0.3">
      <c r="A15" s="38"/>
      <c r="B15" s="38"/>
      <c r="C15" s="38"/>
      <c r="D15" s="38"/>
      <c r="E15" s="38"/>
      <c r="F15" s="31" t="s">
        <v>60</v>
      </c>
      <c r="G15" s="31"/>
      <c r="H15" s="30" t="s">
        <v>25</v>
      </c>
      <c r="I15" s="30"/>
      <c r="J15" s="31" t="s">
        <v>25</v>
      </c>
      <c r="K15" s="31"/>
      <c r="L15" s="49" t="s">
        <v>32</v>
      </c>
      <c r="M15" s="49"/>
      <c r="N15" s="8" t="s">
        <v>56</v>
      </c>
      <c r="O15" s="20" t="s">
        <v>75</v>
      </c>
      <c r="P15" s="9"/>
      <c r="Q15" s="37">
        <f>0.0003262*$D$10*$D$10+0.04511*$D$10-0.3317</f>
        <v>1.3801882000000001</v>
      </c>
      <c r="R15" s="8"/>
      <c r="S15" s="8"/>
      <c r="T15" s="8"/>
    </row>
    <row r="16" spans="1:20" x14ac:dyDescent="0.3">
      <c r="A16" s="38" t="s">
        <v>8</v>
      </c>
      <c r="B16" s="38"/>
      <c r="C16" s="38"/>
      <c r="D16" s="38"/>
      <c r="E16" s="50" t="s">
        <v>1</v>
      </c>
      <c r="F16" s="31" t="s">
        <v>9</v>
      </c>
      <c r="G16" s="31"/>
      <c r="H16" s="30" t="s">
        <v>12</v>
      </c>
      <c r="I16" s="30"/>
      <c r="J16" s="31" t="s">
        <v>13</v>
      </c>
      <c r="K16" s="31"/>
      <c r="L16" s="49" t="s">
        <v>26</v>
      </c>
      <c r="M16" s="49"/>
      <c r="N16" s="8" t="s">
        <v>57</v>
      </c>
      <c r="O16" s="20" t="s">
        <v>76</v>
      </c>
      <c r="P16" s="20"/>
      <c r="Q16" s="8" t="s">
        <v>118</v>
      </c>
      <c r="R16" s="8"/>
      <c r="S16" s="8"/>
      <c r="T16" s="8"/>
    </row>
    <row r="17" spans="1:20" x14ac:dyDescent="0.3">
      <c r="A17" s="38"/>
      <c r="B17" s="38"/>
      <c r="C17" s="38"/>
      <c r="D17" s="38"/>
      <c r="E17" s="50" t="s">
        <v>14</v>
      </c>
      <c r="F17" s="31" t="s">
        <v>10</v>
      </c>
      <c r="G17" s="31" t="s">
        <v>11</v>
      </c>
      <c r="H17" s="30" t="s">
        <v>10</v>
      </c>
      <c r="I17" s="30" t="s">
        <v>11</v>
      </c>
      <c r="J17" s="31" t="s">
        <v>10</v>
      </c>
      <c r="K17" s="31" t="s">
        <v>11</v>
      </c>
      <c r="L17" s="49" t="s">
        <v>10</v>
      </c>
      <c r="M17" s="49" t="s">
        <v>11</v>
      </c>
      <c r="N17" s="8" t="s">
        <v>5</v>
      </c>
      <c r="O17" s="20" t="s">
        <v>10</v>
      </c>
      <c r="P17" s="20" t="s">
        <v>11</v>
      </c>
      <c r="Q17" s="8" t="s">
        <v>117</v>
      </c>
      <c r="R17" s="8"/>
      <c r="S17" s="8"/>
      <c r="T17" s="8"/>
    </row>
    <row r="18" spans="1:20" ht="15" x14ac:dyDescent="0.25">
      <c r="A18" s="6" t="s">
        <v>15</v>
      </c>
      <c r="B18" s="6"/>
      <c r="C18" s="6"/>
      <c r="D18" s="6"/>
      <c r="E18" s="86">
        <f>'harmoni, inddatering + udskrift'!E28</f>
        <v>0</v>
      </c>
      <c r="F18" s="104">
        <v>6.43</v>
      </c>
      <c r="G18" s="105">
        <v>1.49</v>
      </c>
      <c r="H18" s="23">
        <f>E18*F18</f>
        <v>0</v>
      </c>
      <c r="I18" s="35">
        <f>E18*G18</f>
        <v>0</v>
      </c>
      <c r="J18" s="23">
        <f>IF($I$7&gt;0,E18*$I$7*F18,0)</f>
        <v>0</v>
      </c>
      <c r="K18" s="35">
        <f>IF($K$7&gt;0,E18*$K$7*G18,0)</f>
        <v>0</v>
      </c>
      <c r="L18" s="23">
        <f>IF(J18&gt;0,J18,H18)</f>
        <v>0</v>
      </c>
      <c r="M18" s="35">
        <f>IF(K18&gt;0,K18,I18)</f>
        <v>0</v>
      </c>
      <c r="N18" s="25" t="s">
        <v>37</v>
      </c>
      <c r="O18" s="9" t="s">
        <v>33</v>
      </c>
      <c r="P18" s="9"/>
    </row>
    <row r="19" spans="1:20" ht="15" x14ac:dyDescent="0.25">
      <c r="A19" s="6" t="s">
        <v>16</v>
      </c>
      <c r="B19" s="6"/>
      <c r="C19" s="6"/>
      <c r="D19" s="6"/>
      <c r="E19" s="86">
        <f>'harmoni, inddatering + udskrift'!E29</f>
        <v>0</v>
      </c>
      <c r="F19" s="104">
        <v>5.75</v>
      </c>
      <c r="G19" s="105">
        <v>1.49</v>
      </c>
      <c r="H19" s="23">
        <f>E19*F19</f>
        <v>0</v>
      </c>
      <c r="I19" s="35">
        <f>E19*G19</f>
        <v>0</v>
      </c>
      <c r="J19" s="23">
        <f>IF($I$7&gt;0,E19*$I$7*F19,0)</f>
        <v>0</v>
      </c>
      <c r="K19" s="35">
        <f>IF($K$7&gt;0,E19*$K$7*G19,0)</f>
        <v>0</v>
      </c>
      <c r="L19" s="23">
        <f t="shared" ref="L19:L39" si="0">IF(J19&gt;0,J19,H19)</f>
        <v>0</v>
      </c>
      <c r="M19" s="35">
        <f>IF(K19&gt;0,K19,I19)</f>
        <v>0</v>
      </c>
      <c r="N19" s="25" t="s">
        <v>38</v>
      </c>
      <c r="O19" s="9" t="s">
        <v>34</v>
      </c>
      <c r="P19" s="9"/>
      <c r="R19" s="10"/>
    </row>
    <row r="20" spans="1:20" x14ac:dyDescent="0.3">
      <c r="A20" s="45" t="s">
        <v>40</v>
      </c>
      <c r="B20" s="6"/>
      <c r="C20" s="6"/>
      <c r="D20" s="6" t="s">
        <v>25</v>
      </c>
      <c r="E20" s="87">
        <f>SUM(E18:E19)</f>
        <v>0</v>
      </c>
      <c r="F20" s="51" t="s">
        <v>74</v>
      </c>
      <c r="G20" s="52"/>
      <c r="H20" s="52"/>
      <c r="I20" s="52"/>
      <c r="J20" s="23"/>
      <c r="K20" s="35"/>
      <c r="L20" s="21"/>
      <c r="M20" s="35"/>
      <c r="N20" s="25" t="s">
        <v>39</v>
      </c>
      <c r="O20" s="9" t="s">
        <v>35</v>
      </c>
      <c r="P20" s="9"/>
    </row>
    <row r="21" spans="1:20" x14ac:dyDescent="0.3">
      <c r="A21" t="s">
        <v>17</v>
      </c>
      <c r="E21" s="86">
        <f>'harmoni, inddatering + udskrift'!E31</f>
        <v>0</v>
      </c>
      <c r="F21" s="104">
        <v>15.88</v>
      </c>
      <c r="G21" s="105">
        <v>3.47</v>
      </c>
      <c r="H21" s="23">
        <f>$E21*F21</f>
        <v>0</v>
      </c>
      <c r="I21" s="35">
        <f>$E21*G21</f>
        <v>0</v>
      </c>
      <c r="J21" s="23">
        <f t="shared" ref="J21" si="1">IF($I$7&gt;0,E21*$I$7*F21,0)</f>
        <v>0</v>
      </c>
      <c r="K21" s="35">
        <f t="shared" ref="K21" si="2">IF($K$7&gt;0,E21*$K$7*G21,0)</f>
        <v>0</v>
      </c>
      <c r="L21" s="23">
        <f t="shared" si="0"/>
        <v>0</v>
      </c>
      <c r="M21" s="35">
        <f t="shared" ref="M21:M39" si="3">IF(K21&gt;0,K21,I21)</f>
        <v>0</v>
      </c>
      <c r="N21" s="13"/>
      <c r="O21" s="9" t="s">
        <v>36</v>
      </c>
      <c r="P21" s="9"/>
    </row>
    <row r="22" spans="1:20" x14ac:dyDescent="0.3">
      <c r="A22" s="113" t="s">
        <v>18</v>
      </c>
      <c r="D22" s="113" t="s">
        <v>203</v>
      </c>
      <c r="E22" s="86">
        <f>'harmoni, inddatering + udskrift'!E32</f>
        <v>0</v>
      </c>
      <c r="F22" s="104">
        <v>14.27</v>
      </c>
      <c r="G22" s="105">
        <v>3.47</v>
      </c>
      <c r="H22" s="23">
        <f t="shared" ref="H22:H27" si="4">$E22*F22</f>
        <v>0</v>
      </c>
      <c r="I22" s="35">
        <f t="shared" ref="I22:I27" si="5">$E22*G22</f>
        <v>0</v>
      </c>
      <c r="J22" s="23">
        <f t="shared" ref="J22:J27" si="6">IF($I$7&gt;0,E22*$I$7*F22,0)</f>
        <v>0</v>
      </c>
      <c r="K22" s="35">
        <f t="shared" ref="K22:K27" si="7">IF($K$7&gt;0,E22*$K$7*G22,0)</f>
        <v>0</v>
      </c>
      <c r="L22" s="23">
        <f t="shared" si="0"/>
        <v>0</v>
      </c>
      <c r="M22" s="35">
        <f t="shared" si="3"/>
        <v>0</v>
      </c>
      <c r="N22" s="13"/>
      <c r="O22" s="9" t="s">
        <v>77</v>
      </c>
      <c r="P22" s="9"/>
    </row>
    <row r="23" spans="1:20" ht="15" x14ac:dyDescent="0.25">
      <c r="A23" t="s">
        <v>63</v>
      </c>
      <c r="E23" s="86">
        <f>'harmoni, inddatering + udskrift'!E33</f>
        <v>0</v>
      </c>
      <c r="F23" s="104">
        <v>11.93</v>
      </c>
      <c r="G23" s="105">
        <v>3.51</v>
      </c>
      <c r="H23" s="23">
        <f t="shared" si="4"/>
        <v>0</v>
      </c>
      <c r="I23" s="35">
        <f t="shared" si="5"/>
        <v>0</v>
      </c>
      <c r="J23" s="23">
        <f t="shared" si="6"/>
        <v>0</v>
      </c>
      <c r="K23" s="35">
        <f t="shared" si="7"/>
        <v>0</v>
      </c>
      <c r="L23" s="23">
        <f t="shared" si="0"/>
        <v>0</v>
      </c>
      <c r="M23" s="35">
        <f t="shared" si="3"/>
        <v>0</v>
      </c>
      <c r="N23" s="13"/>
      <c r="O23" s="18">
        <f>L23*434/1184</f>
        <v>0</v>
      </c>
      <c r="P23" s="18">
        <f>M23*230/355</f>
        <v>0</v>
      </c>
    </row>
    <row r="24" spans="1:20" x14ac:dyDescent="0.3">
      <c r="A24" t="s">
        <v>64</v>
      </c>
      <c r="E24" s="86">
        <f>'harmoni, inddatering + udskrift'!E34</f>
        <v>0</v>
      </c>
      <c r="F24" s="104">
        <v>14.42</v>
      </c>
      <c r="G24" s="105">
        <v>3.63</v>
      </c>
      <c r="H24" s="23">
        <f t="shared" si="4"/>
        <v>0</v>
      </c>
      <c r="I24" s="35">
        <f t="shared" si="5"/>
        <v>0</v>
      </c>
      <c r="J24" s="23">
        <f t="shared" si="6"/>
        <v>0</v>
      </c>
      <c r="K24" s="35">
        <f t="shared" si="7"/>
        <v>0</v>
      </c>
      <c r="L24" s="23">
        <f t="shared" si="0"/>
        <v>0</v>
      </c>
      <c r="M24" s="35">
        <f t="shared" si="3"/>
        <v>0</v>
      </c>
      <c r="N24" s="13"/>
      <c r="O24" s="18">
        <f>L24*459/1432</f>
        <v>0</v>
      </c>
      <c r="P24" s="18">
        <f>M24*132/368</f>
        <v>0</v>
      </c>
    </row>
    <row r="25" spans="1:20" x14ac:dyDescent="0.3">
      <c r="A25" t="s">
        <v>65</v>
      </c>
      <c r="E25" s="86">
        <f>'harmoni, inddatering + udskrift'!E35</f>
        <v>0</v>
      </c>
      <c r="F25" s="104">
        <v>14.18</v>
      </c>
      <c r="G25" s="105">
        <v>3.63</v>
      </c>
      <c r="H25" s="23">
        <f t="shared" si="4"/>
        <v>0</v>
      </c>
      <c r="I25" s="35">
        <f t="shared" si="5"/>
        <v>0</v>
      </c>
      <c r="J25" s="23">
        <f t="shared" si="6"/>
        <v>0</v>
      </c>
      <c r="K25" s="35">
        <f t="shared" si="7"/>
        <v>0</v>
      </c>
      <c r="L25" s="23">
        <f t="shared" si="0"/>
        <v>0</v>
      </c>
      <c r="M25" s="35">
        <f t="shared" si="3"/>
        <v>0</v>
      </c>
      <c r="N25" s="13"/>
      <c r="O25" s="18">
        <f>L25</f>
        <v>0</v>
      </c>
      <c r="P25" s="18">
        <f>M25*132/368</f>
        <v>0</v>
      </c>
    </row>
    <row r="26" spans="1:20" x14ac:dyDescent="0.3">
      <c r="A26" t="s">
        <v>66</v>
      </c>
      <c r="E26" s="86">
        <f>'harmoni, inddatering + udskrift'!E36</f>
        <v>0</v>
      </c>
      <c r="F26" s="104">
        <v>13.5</v>
      </c>
      <c r="G26" s="105">
        <v>3.89</v>
      </c>
      <c r="H26" s="23">
        <f t="shared" si="4"/>
        <v>0</v>
      </c>
      <c r="I26" s="35">
        <f t="shared" si="5"/>
        <v>0</v>
      </c>
      <c r="J26" s="23">
        <f t="shared" si="6"/>
        <v>0</v>
      </c>
      <c r="K26" s="35">
        <f t="shared" si="7"/>
        <v>0</v>
      </c>
      <c r="L26" s="23">
        <f t="shared" si="0"/>
        <v>0</v>
      </c>
      <c r="M26" s="35">
        <f t="shared" si="3"/>
        <v>0</v>
      </c>
      <c r="N26" s="13"/>
      <c r="O26" s="18">
        <f t="shared" ref="O26" si="8">L26*434/1184</f>
        <v>0</v>
      </c>
      <c r="P26" s="18">
        <f>M26</f>
        <v>0</v>
      </c>
    </row>
    <row r="27" spans="1:20" x14ac:dyDescent="0.3">
      <c r="A27" s="4" t="s">
        <v>67</v>
      </c>
      <c r="E27" s="86">
        <f>'harmoni, inddatering + udskrift'!E37</f>
        <v>0</v>
      </c>
      <c r="F27" s="104">
        <v>14.8</v>
      </c>
      <c r="G27" s="105">
        <v>3.49</v>
      </c>
      <c r="H27" s="23">
        <f t="shared" si="4"/>
        <v>0</v>
      </c>
      <c r="I27" s="35">
        <f t="shared" si="5"/>
        <v>0</v>
      </c>
      <c r="J27" s="23">
        <f t="shared" si="6"/>
        <v>0</v>
      </c>
      <c r="K27" s="35">
        <f t="shared" si="7"/>
        <v>0</v>
      </c>
      <c r="L27" s="23">
        <f t="shared" si="0"/>
        <v>0</v>
      </c>
      <c r="M27" s="35">
        <f t="shared" si="3"/>
        <v>0</v>
      </c>
      <c r="N27" s="13"/>
      <c r="O27" s="19"/>
      <c r="P27" s="19"/>
    </row>
    <row r="28" spans="1:20" x14ac:dyDescent="0.3">
      <c r="A28" s="3" t="s">
        <v>68</v>
      </c>
      <c r="B28" s="3"/>
      <c r="C28" s="3"/>
      <c r="D28" s="3"/>
      <c r="E28" s="87">
        <f>SUM(E21:E27)</f>
        <v>0</v>
      </c>
      <c r="F28" s="51" t="s">
        <v>74</v>
      </c>
      <c r="G28" s="53"/>
      <c r="H28" s="53"/>
      <c r="I28" s="53"/>
      <c r="J28" s="22" t="s">
        <v>147</v>
      </c>
      <c r="K28" s="34"/>
      <c r="L28" s="24">
        <f>SUM(L18:L27)</f>
        <v>0</v>
      </c>
      <c r="M28" s="36">
        <f>SUM(M18:M27)</f>
        <v>0</v>
      </c>
      <c r="N28" s="37"/>
      <c r="O28" s="16">
        <f>SUM(O18:O27)</f>
        <v>0</v>
      </c>
      <c r="P28" s="16">
        <f>SUM(P18:P27)</f>
        <v>0</v>
      </c>
    </row>
    <row r="29" spans="1:20" x14ac:dyDescent="0.3">
      <c r="A29" s="6" t="s">
        <v>69</v>
      </c>
      <c r="B29" s="6"/>
      <c r="C29" s="6"/>
      <c r="D29" s="6"/>
      <c r="E29" s="86">
        <f>'harmoni, inddatering + udskrift'!E41</f>
        <v>0</v>
      </c>
      <c r="F29" s="104">
        <v>0.44500000000000001</v>
      </c>
      <c r="G29" s="105">
        <v>0.12</v>
      </c>
      <c r="H29" s="23">
        <f>E29*F29*$H$11</f>
        <v>0</v>
      </c>
      <c r="I29" s="35">
        <f>E29*G29*$J$11</f>
        <v>0</v>
      </c>
      <c r="J29" s="23">
        <f>IF($I$11&gt;0,E29*F29*$I$11,0)</f>
        <v>0</v>
      </c>
      <c r="K29" s="35">
        <f>IF($K$11&gt;0,E29*G29*$K$11,0)</f>
        <v>0</v>
      </c>
      <c r="L29" s="23">
        <f t="shared" si="0"/>
        <v>0</v>
      </c>
      <c r="M29" s="35">
        <f t="shared" si="3"/>
        <v>0</v>
      </c>
      <c r="N29" s="25">
        <f>M29/$Q$15</f>
        <v>0</v>
      </c>
      <c r="O29" s="9"/>
      <c r="P29" s="9"/>
    </row>
    <row r="30" spans="1:20" x14ac:dyDescent="0.3">
      <c r="A30" s="6" t="s">
        <v>19</v>
      </c>
      <c r="B30" s="6"/>
      <c r="C30" s="6"/>
      <c r="D30" s="6"/>
      <c r="E30" s="86">
        <f>'harmoni, inddatering + udskrift'!E42</f>
        <v>0</v>
      </c>
      <c r="F30" s="104">
        <v>0.41099999999999998</v>
      </c>
      <c r="G30" s="105">
        <v>0.12</v>
      </c>
      <c r="H30" s="23">
        <f t="shared" ref="H30:H32" si="9">E30*F30*$H$11</f>
        <v>0</v>
      </c>
      <c r="I30" s="35">
        <f t="shared" ref="I30:I32" si="10">E30*G30*$J$11</f>
        <v>0</v>
      </c>
      <c r="J30" s="23">
        <f t="shared" ref="J30:J32" si="11">IF($I$11&gt;0,E30*F30*$I$11,0)</f>
        <v>0</v>
      </c>
      <c r="K30" s="35">
        <f t="shared" ref="K30:K32" si="12">IF($K$11&gt;0,E30*G30*$K$11,0)</f>
        <v>0</v>
      </c>
      <c r="L30" s="23">
        <f t="shared" si="0"/>
        <v>0</v>
      </c>
      <c r="M30" s="35">
        <f t="shared" si="3"/>
        <v>0</v>
      </c>
      <c r="N30" s="25">
        <f t="shared" ref="N30:N32" si="13">M30/$Q$15</f>
        <v>0</v>
      </c>
      <c r="O30" s="9"/>
      <c r="P30" s="9"/>
    </row>
    <row r="31" spans="1:20" x14ac:dyDescent="0.3">
      <c r="A31" s="6" t="s">
        <v>70</v>
      </c>
      <c r="B31" s="6"/>
      <c r="C31" s="6"/>
      <c r="D31" s="6"/>
      <c r="E31" s="86">
        <f>'harmoni, inddatering + udskrift'!E43</f>
        <v>0</v>
      </c>
      <c r="F31" s="104">
        <v>0.28399999999999997</v>
      </c>
      <c r="G31" s="105">
        <v>0.121</v>
      </c>
      <c r="H31" s="23">
        <f t="shared" si="9"/>
        <v>0</v>
      </c>
      <c r="I31" s="35">
        <f t="shared" si="10"/>
        <v>0</v>
      </c>
      <c r="J31" s="23">
        <f t="shared" si="11"/>
        <v>0</v>
      </c>
      <c r="K31" s="35">
        <f t="shared" si="12"/>
        <v>0</v>
      </c>
      <c r="L31" s="23">
        <f t="shared" si="0"/>
        <v>0</v>
      </c>
      <c r="M31" s="35">
        <f t="shared" si="3"/>
        <v>0</v>
      </c>
      <c r="N31" s="25">
        <f t="shared" si="13"/>
        <v>0</v>
      </c>
      <c r="O31" s="18">
        <f>L31*163/284</f>
        <v>0</v>
      </c>
      <c r="P31" s="18">
        <f>M31*96/123</f>
        <v>0</v>
      </c>
    </row>
    <row r="32" spans="1:20" x14ac:dyDescent="0.3">
      <c r="A32" s="6" t="s">
        <v>20</v>
      </c>
      <c r="B32" s="6"/>
      <c r="C32" s="6"/>
      <c r="D32" s="6"/>
      <c r="E32" s="86">
        <f>'harmoni, inddatering + udskrift'!E44</f>
        <v>0</v>
      </c>
      <c r="F32" s="104">
        <v>0.29599999999999999</v>
      </c>
      <c r="G32" s="105">
        <v>0.127</v>
      </c>
      <c r="H32" s="23">
        <f t="shared" si="9"/>
        <v>0</v>
      </c>
      <c r="I32" s="35">
        <f t="shared" si="10"/>
        <v>0</v>
      </c>
      <c r="J32" s="23">
        <f t="shared" si="11"/>
        <v>0</v>
      </c>
      <c r="K32" s="35">
        <f t="shared" si="12"/>
        <v>0</v>
      </c>
      <c r="L32" s="23">
        <f t="shared" si="0"/>
        <v>0</v>
      </c>
      <c r="M32" s="35">
        <f t="shared" si="3"/>
        <v>0</v>
      </c>
      <c r="N32" s="25">
        <f t="shared" si="13"/>
        <v>0</v>
      </c>
      <c r="O32" s="18">
        <f>L32</f>
        <v>0</v>
      </c>
      <c r="P32" s="18">
        <f>M32</f>
        <v>0</v>
      </c>
    </row>
    <row r="33" spans="1:20" x14ac:dyDescent="0.3">
      <c r="A33" s="45" t="s">
        <v>27</v>
      </c>
      <c r="B33" s="6"/>
      <c r="C33" s="6"/>
      <c r="D33" s="6"/>
      <c r="E33" s="87">
        <f>SUM(E29:E32)</f>
        <v>0</v>
      </c>
      <c r="F33" s="21"/>
      <c r="G33" s="33"/>
      <c r="H33" s="23"/>
      <c r="I33" s="35"/>
      <c r="J33" s="23"/>
      <c r="K33" s="35"/>
      <c r="L33" s="24">
        <f>SUM(L29:L32)</f>
        <v>0</v>
      </c>
      <c r="M33" s="36">
        <f>SUM(M29:M32)</f>
        <v>0</v>
      </c>
      <c r="N33" s="26">
        <f>SUM(N29:N32)</f>
        <v>0</v>
      </c>
      <c r="O33" s="17">
        <f t="shared" ref="O33:P33" si="14">SUM(O29:O32)</f>
        <v>0</v>
      </c>
      <c r="P33" s="17">
        <f t="shared" si="14"/>
        <v>0</v>
      </c>
    </row>
    <row r="34" spans="1:20" x14ac:dyDescent="0.3">
      <c r="A34" t="s">
        <v>21</v>
      </c>
      <c r="E34" s="86">
        <f>'harmoni, inddatering + udskrift'!E47</f>
        <v>0</v>
      </c>
      <c r="F34" s="104">
        <v>2.75</v>
      </c>
      <c r="G34" s="105">
        <v>0.66100000000000003</v>
      </c>
      <c r="H34" s="23">
        <f>E34*F34*$H$13</f>
        <v>0</v>
      </c>
      <c r="I34" s="35">
        <f>E34*G34*$J$13</f>
        <v>0</v>
      </c>
      <c r="J34" s="23">
        <f>IF($I$13&gt;0,E34*F34*$I$13,0)</f>
        <v>0</v>
      </c>
      <c r="K34" s="35">
        <f>IF($K$13&gt;0,E34*G34*$K$13,0)</f>
        <v>0</v>
      </c>
      <c r="L34" s="23">
        <f t="shared" si="0"/>
        <v>0</v>
      </c>
      <c r="M34" s="35">
        <f t="shared" si="3"/>
        <v>0</v>
      </c>
      <c r="N34" s="13"/>
      <c r="O34" s="9"/>
      <c r="P34" s="9"/>
      <c r="Q34" s="6" t="s">
        <v>106</v>
      </c>
      <c r="R34" s="6"/>
      <c r="S34" s="6"/>
      <c r="T34" s="6"/>
    </row>
    <row r="35" spans="1:20" ht="15" x14ac:dyDescent="0.25">
      <c r="A35" t="s">
        <v>22</v>
      </c>
      <c r="E35" s="86">
        <f>'harmoni, inddatering + udskrift'!E48</f>
        <v>0</v>
      </c>
      <c r="F35" s="104">
        <v>2.67</v>
      </c>
      <c r="G35" s="105">
        <v>0.66100000000000003</v>
      </c>
      <c r="H35" s="23">
        <f t="shared" ref="H35:H39" si="15">E35*F35*$H$13</f>
        <v>0</v>
      </c>
      <c r="I35" s="35">
        <f t="shared" ref="I35:I39" si="16">E35*G35*$J$13</f>
        <v>0</v>
      </c>
      <c r="J35" s="23">
        <f t="shared" ref="J35:J39" si="17">IF($I$13&gt;0,E35*F35*$I$13,0)</f>
        <v>0</v>
      </c>
      <c r="K35" s="35">
        <f t="shared" ref="K35:K39" si="18">IF($K$13&gt;0,E35*G35*$K$13,0)</f>
        <v>0</v>
      </c>
      <c r="L35" s="23">
        <f t="shared" si="0"/>
        <v>0</v>
      </c>
      <c r="M35" s="35">
        <f t="shared" si="3"/>
        <v>0</v>
      </c>
      <c r="N35" s="13"/>
      <c r="O35" s="9"/>
      <c r="P35" s="9"/>
      <c r="Q35" s="6" t="s">
        <v>107</v>
      </c>
      <c r="R35" s="6"/>
      <c r="S35" s="6"/>
      <c r="T35" s="6"/>
    </row>
    <row r="36" spans="1:20" x14ac:dyDescent="0.3">
      <c r="A36" t="s">
        <v>23</v>
      </c>
      <c r="E36" s="86">
        <f>'harmoni, inddatering + udskrift'!E49</f>
        <v>10000</v>
      </c>
      <c r="F36" s="104">
        <v>2.58</v>
      </c>
      <c r="G36" s="105">
        <v>0.65900000000000003</v>
      </c>
      <c r="H36" s="23">
        <f t="shared" si="15"/>
        <v>25800.985446163984</v>
      </c>
      <c r="I36" s="35">
        <f t="shared" si="16"/>
        <v>6590.1759999999977</v>
      </c>
      <c r="J36" s="23">
        <f t="shared" si="17"/>
        <v>23918.749292064542</v>
      </c>
      <c r="K36" s="35">
        <f t="shared" si="18"/>
        <v>5010.2000000000007</v>
      </c>
      <c r="L36" s="23">
        <f t="shared" si="0"/>
        <v>23918.749292064542</v>
      </c>
      <c r="M36" s="35">
        <f t="shared" si="3"/>
        <v>5010.2000000000007</v>
      </c>
      <c r="N36" s="13"/>
      <c r="O36" s="9"/>
      <c r="P36" s="9"/>
      <c r="Q36" s="6" t="s">
        <v>108</v>
      </c>
      <c r="R36" s="6"/>
      <c r="S36" s="6"/>
      <c r="T36" s="6"/>
    </row>
    <row r="37" spans="1:20" ht="15" x14ac:dyDescent="0.25">
      <c r="A37" t="s">
        <v>24</v>
      </c>
      <c r="E37" s="86">
        <f>'harmoni, inddatering + udskrift'!E50</f>
        <v>0</v>
      </c>
      <c r="F37" s="104">
        <v>1.978</v>
      </c>
      <c r="G37" s="105">
        <v>0.66700000000000004</v>
      </c>
      <c r="H37" s="23">
        <f t="shared" si="15"/>
        <v>0</v>
      </c>
      <c r="I37" s="35">
        <f t="shared" si="16"/>
        <v>0</v>
      </c>
      <c r="J37" s="23">
        <f t="shared" si="17"/>
        <v>0</v>
      </c>
      <c r="K37" s="35">
        <f t="shared" si="18"/>
        <v>0</v>
      </c>
      <c r="L37" s="23">
        <f t="shared" si="0"/>
        <v>0</v>
      </c>
      <c r="M37" s="35">
        <f t="shared" si="3"/>
        <v>0</v>
      </c>
      <c r="N37" s="13"/>
      <c r="O37" s="18">
        <f>L37*0.5</f>
        <v>0</v>
      </c>
      <c r="P37" s="18">
        <f>M37*151/643</f>
        <v>0</v>
      </c>
      <c r="Q37" s="6" t="s">
        <v>109</v>
      </c>
      <c r="R37" s="6"/>
      <c r="S37" s="6"/>
      <c r="T37" s="6"/>
    </row>
    <row r="38" spans="1:20" x14ac:dyDescent="0.3">
      <c r="A38" t="s">
        <v>71</v>
      </c>
      <c r="E38" s="86">
        <f>'harmoni, inddatering + udskrift'!E51</f>
        <v>0</v>
      </c>
      <c r="F38" s="104">
        <v>2.34</v>
      </c>
      <c r="G38" s="105">
        <v>0.67900000000000005</v>
      </c>
      <c r="H38" s="23">
        <f t="shared" si="15"/>
        <v>0</v>
      </c>
      <c r="I38" s="35">
        <f t="shared" si="16"/>
        <v>0</v>
      </c>
      <c r="J38" s="23">
        <f t="shared" si="17"/>
        <v>0</v>
      </c>
      <c r="K38" s="35">
        <f t="shared" si="18"/>
        <v>0</v>
      </c>
      <c r="L38" s="23">
        <f t="shared" si="0"/>
        <v>0</v>
      </c>
      <c r="M38" s="35">
        <f t="shared" si="3"/>
        <v>0</v>
      </c>
      <c r="N38" s="13"/>
      <c r="O38" s="18">
        <f>L38*0.965/2.208</f>
        <v>0</v>
      </c>
      <c r="P38" s="18">
        <f>M38*338/665</f>
        <v>0</v>
      </c>
      <c r="Q38" s="6" t="s">
        <v>110</v>
      </c>
      <c r="R38" s="6"/>
      <c r="S38" s="6"/>
      <c r="T38" s="6"/>
    </row>
    <row r="39" spans="1:20" x14ac:dyDescent="0.3">
      <c r="A39" t="s">
        <v>72</v>
      </c>
      <c r="E39" s="86">
        <f>'harmoni, inddatering + udskrift'!E52</f>
        <v>0</v>
      </c>
      <c r="F39" s="104">
        <v>2.0299999999999998</v>
      </c>
      <c r="G39" s="105">
        <v>0.69899999999999995</v>
      </c>
      <c r="H39" s="23">
        <f t="shared" si="15"/>
        <v>0</v>
      </c>
      <c r="I39" s="35">
        <f t="shared" si="16"/>
        <v>0</v>
      </c>
      <c r="J39" s="23">
        <f t="shared" si="17"/>
        <v>0</v>
      </c>
      <c r="K39" s="35">
        <f t="shared" si="18"/>
        <v>0</v>
      </c>
      <c r="L39" s="23">
        <f t="shared" si="0"/>
        <v>0</v>
      </c>
      <c r="M39" s="35">
        <f t="shared" si="3"/>
        <v>0</v>
      </c>
      <c r="N39" s="13"/>
      <c r="O39" s="18">
        <f>L39</f>
        <v>0</v>
      </c>
      <c r="P39" s="18">
        <f>M39</f>
        <v>0</v>
      </c>
      <c r="Q39" s="6" t="s">
        <v>111</v>
      </c>
      <c r="R39" s="6"/>
      <c r="S39" s="6"/>
      <c r="T39" s="6"/>
    </row>
    <row r="40" spans="1:20" ht="15" x14ac:dyDescent="0.25">
      <c r="A40" s="3" t="s">
        <v>73</v>
      </c>
      <c r="E40" s="87">
        <f>SUM(E34:E39)</f>
        <v>10000</v>
      </c>
      <c r="F40" s="12"/>
      <c r="G40" s="12"/>
      <c r="H40" s="13"/>
      <c r="I40" s="13"/>
      <c r="J40" s="13"/>
      <c r="K40" s="13"/>
      <c r="L40" s="24">
        <f>SUM(L34:L39)</f>
        <v>23918.749292064542</v>
      </c>
      <c r="M40" s="36">
        <f>SUM(M34:M39)</f>
        <v>5010.2000000000007</v>
      </c>
      <c r="N40" s="15"/>
      <c r="O40" s="17">
        <f t="shared" ref="O40:P40" si="19">SUM(O34:O39)</f>
        <v>0</v>
      </c>
      <c r="P40" s="17">
        <f t="shared" si="19"/>
        <v>0</v>
      </c>
      <c r="Q40" s="6" t="s">
        <v>119</v>
      </c>
      <c r="R40" s="6"/>
      <c r="S40" s="6"/>
      <c r="T40" s="6"/>
    </row>
    <row r="41" spans="1:20" x14ac:dyDescent="0.3">
      <c r="A41" s="2" t="s">
        <v>28</v>
      </c>
      <c r="B41" s="2"/>
      <c r="C41" s="2"/>
      <c r="D41" s="5">
        <f>IF((((M28*35+M33*35+M40*H47)/(M28+M33+M40))*(1-'harmoni, inddatering + udskrift'!G23)+(30*'harmoni, inddatering + udskrift'!G23)+T9)&lt;45,((M28*35+M33*35+M40*H47)/(M28+M33+M40))*(1-'harmoni, inddatering + udskrift'!G23)+(30*'harmoni, inddatering + udskrift'!G23)+T9,45)</f>
        <v>39</v>
      </c>
      <c r="E41" s="2" t="s">
        <v>85</v>
      </c>
      <c r="F41" s="2" t="s">
        <v>79</v>
      </c>
      <c r="G41" s="2"/>
      <c r="H41" s="2"/>
      <c r="I41" s="2"/>
      <c r="J41" s="2"/>
      <c r="K41" s="2"/>
      <c r="L41" s="11" t="s">
        <v>112</v>
      </c>
      <c r="M41" s="11"/>
      <c r="N41" s="11"/>
      <c r="O41" s="11"/>
      <c r="P41" s="11"/>
      <c r="Q41" s="11"/>
      <c r="R41" s="11"/>
      <c r="S41" s="11"/>
      <c r="T41" s="11"/>
    </row>
    <row r="42" spans="1:20" x14ac:dyDescent="0.3">
      <c r="A42" s="2" t="s">
        <v>30</v>
      </c>
      <c r="B42" s="2"/>
      <c r="C42" s="2"/>
      <c r="D42" s="60">
        <f>(M28+M33+M40)/D41</f>
        <v>128.4666666666667</v>
      </c>
      <c r="E42" s="2" t="s">
        <v>29</v>
      </c>
      <c r="F42" s="2" t="s">
        <v>83</v>
      </c>
      <c r="G42" s="2"/>
      <c r="H42" s="2"/>
      <c r="I42" s="2"/>
      <c r="J42" s="2"/>
      <c r="K42" s="2"/>
      <c r="L42" s="11" t="s">
        <v>113</v>
      </c>
      <c r="M42" s="11"/>
      <c r="N42" s="11"/>
      <c r="O42" s="11"/>
      <c r="P42" s="11"/>
      <c r="Q42" s="11"/>
      <c r="R42" s="11"/>
      <c r="S42" s="11"/>
      <c r="T42" s="11"/>
    </row>
    <row r="43" spans="1:20" x14ac:dyDescent="0.3">
      <c r="A43" s="2" t="s">
        <v>62</v>
      </c>
      <c r="B43" s="2"/>
      <c r="C43" s="2"/>
      <c r="D43" s="60">
        <f>(L28+L33+L40)/170</f>
        <v>140.69852524743848</v>
      </c>
      <c r="E43" s="2" t="s">
        <v>29</v>
      </c>
      <c r="F43" s="2" t="s">
        <v>61</v>
      </c>
      <c r="G43" s="2"/>
      <c r="H43" s="2"/>
      <c r="I43" s="2"/>
      <c r="J43" s="2"/>
      <c r="K43" s="2"/>
      <c r="L43" s="11" t="s">
        <v>114</v>
      </c>
      <c r="M43" s="11"/>
      <c r="N43" s="11"/>
      <c r="O43" s="11"/>
      <c r="P43" s="11"/>
      <c r="Q43" s="11"/>
      <c r="R43" s="11"/>
      <c r="S43" s="11"/>
      <c r="T43" s="11"/>
    </row>
    <row r="44" spans="1:20" x14ac:dyDescent="0.3">
      <c r="A44" s="2" t="s">
        <v>80</v>
      </c>
      <c r="B44" s="2"/>
      <c r="C44" s="2"/>
      <c r="D44" s="60">
        <f>N33/14</f>
        <v>0</v>
      </c>
      <c r="E44" s="2" t="s">
        <v>29</v>
      </c>
      <c r="F44" s="2" t="s">
        <v>31</v>
      </c>
      <c r="G44" s="2"/>
      <c r="H44" s="2"/>
      <c r="I44" s="2"/>
      <c r="J44" s="2"/>
      <c r="K44" s="2"/>
      <c r="L44" s="11" t="s">
        <v>120</v>
      </c>
      <c r="M44" s="11"/>
      <c r="N44" s="11"/>
      <c r="O44" s="11"/>
      <c r="P44" s="11"/>
      <c r="Q44" s="11"/>
      <c r="R44" s="11"/>
      <c r="S44" s="11"/>
      <c r="T44" s="11"/>
    </row>
    <row r="45" spans="1:20" x14ac:dyDescent="0.3">
      <c r="A45" s="2" t="s">
        <v>81</v>
      </c>
      <c r="B45" s="2"/>
      <c r="C45" s="2"/>
      <c r="D45" s="60">
        <f>N33/(M20+M28+M33+M40)*100</f>
        <v>0</v>
      </c>
      <c r="E45" s="2" t="s">
        <v>82</v>
      </c>
      <c r="F45" s="2" t="s">
        <v>84</v>
      </c>
      <c r="G45" s="2"/>
      <c r="H45" s="2"/>
      <c r="I45" s="2"/>
      <c r="J45" s="2"/>
      <c r="K45" s="2"/>
      <c r="L45" s="11" t="s">
        <v>116</v>
      </c>
      <c r="M45" s="11"/>
      <c r="N45" s="11"/>
      <c r="O45" s="11"/>
      <c r="P45" s="11"/>
      <c r="Q45" s="11"/>
      <c r="R45" s="11"/>
      <c r="S45" s="11"/>
      <c r="T45" s="11"/>
    </row>
    <row r="46" spans="1:20" ht="15" x14ac:dyDescent="0.25">
      <c r="A46" s="2"/>
      <c r="B46" s="2"/>
      <c r="C46" s="2"/>
      <c r="D46" s="66"/>
      <c r="E46" s="39"/>
      <c r="F46" s="2"/>
      <c r="G46" s="2"/>
      <c r="H46" s="2"/>
      <c r="I46" s="2"/>
      <c r="J46" s="2"/>
      <c r="K46" s="2"/>
      <c r="L46" s="11" t="s">
        <v>115</v>
      </c>
      <c r="M46" s="11"/>
      <c r="N46" s="11"/>
      <c r="O46" s="11"/>
      <c r="P46" s="11"/>
      <c r="Q46" s="11"/>
      <c r="R46" s="11"/>
      <c r="S46" s="11"/>
      <c r="T46" s="11"/>
    </row>
    <row r="47" spans="1:20" x14ac:dyDescent="0.3">
      <c r="A47" s="11" t="s">
        <v>207</v>
      </c>
      <c r="B47" s="11"/>
      <c r="C47" s="11"/>
      <c r="D47" s="11"/>
      <c r="E47" s="11"/>
      <c r="F47" s="11"/>
      <c r="G47" s="11"/>
      <c r="H47" s="40">
        <f>IF('harmoni, inddatering + udskrift'!D19&lt;25,38.16,39)</f>
        <v>39</v>
      </c>
      <c r="I47" s="11"/>
      <c r="J47" s="11" t="s">
        <v>206</v>
      </c>
      <c r="K47" s="11"/>
      <c r="L47" s="11"/>
      <c r="M47" s="11"/>
      <c r="N47" s="11"/>
      <c r="O47" s="11"/>
      <c r="P47" s="11"/>
      <c r="Q47" s="11"/>
      <c r="R47" s="11"/>
    </row>
    <row r="48" spans="1:20" x14ac:dyDescent="0.3">
      <c r="A48" s="10"/>
      <c r="J48" s="11" t="s">
        <v>205</v>
      </c>
      <c r="K48" s="11"/>
      <c r="L48" s="11"/>
      <c r="M48" s="11"/>
      <c r="N48" s="11"/>
      <c r="O48" s="11"/>
      <c r="P48" s="11"/>
      <c r="Q48" s="11"/>
      <c r="R48" s="11"/>
    </row>
  </sheetData>
  <sheetProtection algorithmName="SHA-512" hashValue="EqEvwn6dtD29Yh/1KUidmSXAUv8pGkq8LDeN9IYWVVuy96VN8tuoDTZvvcHUJajfPa6DO+ZWyx8OalzE+4tsXA==" saltValue="CXvJpw2/hN2lMOglv6aic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39AECF0C0DF042669F1227F4A133879E0100C463F228579D7B40BC7AC9090504053D" ma:contentTypeVersion="13" ma:contentTypeDescription="" ma:contentTypeScope="" ma:versionID="b28b4b05e83f3f5f7da0152b2707eb85">
  <xsd:schema xmlns:xsd="http://www.w3.org/2001/XMLSchema" xmlns:xs="http://www.w3.org/2001/XMLSchema" xmlns:p="http://schemas.microsoft.com/office/2006/metadata/properties" xmlns:ns3="f01e8204-c9c5-4b3a-ae89-76efb91ee6dd" xmlns:ns4="95205d42-89eb-43c3-ae46-3fd3b7e1c958" targetNamespace="http://schemas.microsoft.com/office/2006/metadata/properties" ma:root="true" ma:fieldsID="ffd25006c83cc57c7974b3e42c059600" ns3:_="" ns4:_="">
    <xsd:import namespace="f01e8204-c9c5-4b3a-ae89-76efb91ee6dd"/>
    <xsd:import namespace="95205d42-89eb-43c3-ae46-3fd3b7e1c958"/>
    <xsd:element name="properties">
      <xsd:complexType>
        <xsd:sequence>
          <xsd:element name="documentManagement">
            <xsd:complexType>
              <xsd:all>
                <xsd:element ref="ns3:DocuWise.Ended" minOccurs="0"/>
                <xsd:element ref="ns3:DocuWise.Received" minOccurs="0"/>
                <xsd:element ref="ns3:DocuWise.Company" minOccurs="0"/>
                <xsd:element ref="ns3:DocuWise.CompanyText" minOccurs="0"/>
                <xsd:element ref="ns3:DocuWise.Type" minOccurs="0"/>
                <xsd:element ref="ns3:DocuWise.Person" minOccurs="0"/>
                <xsd:element ref="ns3:DocuWise.PersonText" minOccurs="0"/>
                <xsd:element ref="ns3:DocuWise.Project" minOccurs="0"/>
                <xsd:element ref="ns3:DocuWise.JobDescription" minOccurs="0"/>
                <xsd:element ref="ns3:DocuWise.Language" minOccurs="0"/>
                <xsd:element ref="ns3:DocuWise.CHRNumber" minOccurs="0"/>
                <xsd:element ref="ns3:DocuWise.TestNumber" minOccurs="0"/>
                <xsd:element ref="ns3:Docuwise.Number" minOccurs="0"/>
                <xsd:element ref="ns3:DocuWise.CaseWorker" minOccurs="0"/>
                <xsd:element ref="ns3:DocuWise.Legacy.CreatedByName" minOccurs="0"/>
                <xsd:element ref="ns3:DocuWise.Legacy.CreatedByEmail" minOccurs="0"/>
                <xsd:element ref="ns3:DocuWise.Legacy.CaseWorkerName" minOccurs="0"/>
                <xsd:element ref="ns3:DocuWise.Legacy.CaseWorkerEmail" minOccurs="0"/>
                <xsd:element ref="ns3:DocuWise.Legacy.Department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1e8204-c9c5-4b3a-ae89-76efb91ee6dd" elementFormDefault="qualified">
    <xsd:import namespace="http://schemas.microsoft.com/office/2006/documentManagement/types"/>
    <xsd:import namespace="http://schemas.microsoft.com/office/infopath/2007/PartnerControls"/>
    <xsd:element name="DocuWise.Ended" ma:index="9" nillable="true" ma:displayName="Afsluttet" ma:default="0" ma:internalName="Docuwise_x002e_Ended">
      <xsd:simpleType>
        <xsd:restriction base="dms:Boolean"/>
      </xsd:simpleType>
    </xsd:element>
    <xsd:element name="DocuWise.Received" ma:index="10" nillable="true" ma:displayName="Modtaget" ma:default="0" ma:internalName="Docuwise_x002e_Received">
      <xsd:simpleType>
        <xsd:restriction base="dms:Boolean"/>
      </xsd:simpleType>
    </xsd:element>
    <xsd:element name="DocuWise.Company" ma:index="11" nillable="true" ma:displayName="Firma" ma:internalName="Docuwise_x002e_Company">
      <xsd:simpleType>
        <xsd:restriction base="dms:Text">
          <xsd:maxLength value="255"/>
        </xsd:restriction>
      </xsd:simpleType>
    </xsd:element>
    <xsd:element name="DocuWise.CompanyText" ma:index="12" nillable="true" ma:displayName="Firma tekst" ma:internalName="Docuwise_x002e_CompanyText">
      <xsd:simpleType>
        <xsd:restriction base="dms:Text">
          <xsd:maxLength value="255"/>
        </xsd:restriction>
      </xsd:simpleType>
    </xsd:element>
    <xsd:element name="DocuWise.Type" ma:index="13" nillable="true" ma:displayName="Type" ma:internalName="Docuwise_x002e_Type">
      <xsd:simpleType>
        <xsd:restriction base="dms:Text">
          <xsd:maxLength value="255"/>
        </xsd:restriction>
      </xsd:simpleType>
    </xsd:element>
    <xsd:element name="DocuWise.Person" ma:index="14" nillable="true" ma:displayName="Person" ma:internalName="Docuwise_x002e_Person">
      <xsd:simpleType>
        <xsd:restriction base="dms:Text">
          <xsd:maxLength value="255"/>
        </xsd:restriction>
      </xsd:simpleType>
    </xsd:element>
    <xsd:element name="DocuWise.PersonText" ma:index="15" nillable="true" ma:displayName="Person tekst" ma:internalName="Docuwise_x002e_PersonText">
      <xsd:simpleType>
        <xsd:restriction base="dms:Text">
          <xsd:maxLength value="255"/>
        </xsd:restriction>
      </xsd:simpleType>
    </xsd:element>
    <xsd:element name="DocuWise.Project" ma:index="16" nillable="true" ma:displayName="Projekt" ma:internalName="DocuWise_x002e_Project">
      <xsd:simpleType>
        <xsd:restriction base="dms:Text">
          <xsd:maxLength value="255"/>
        </xsd:restriction>
      </xsd:simpleType>
    </xsd:element>
    <xsd:element name="DocuWise.JobDescription" ma:index="17" nillable="true" ma:displayName="Job beskrivelse" ma:internalName="DocuWise_x002e_JobDescription">
      <xsd:simpleType>
        <xsd:restriction base="dms:Text">
          <xsd:maxLength value="255"/>
        </xsd:restriction>
      </xsd:simpleType>
    </xsd:element>
    <xsd:element name="DocuWise.Language" ma:index="18" nillable="true" ma:displayName="Sprog" ma:internalName="DocuWise_x002e_Language">
      <xsd:simpleType>
        <xsd:restriction base="dms:Text">
          <xsd:maxLength value="255"/>
        </xsd:restriction>
      </xsd:simpleType>
    </xsd:element>
    <xsd:element name="DocuWise.CHRNumber" ma:index="19" nillable="true" ma:displayName="CHR nummer" ma:internalName="DocuWise_x002e_CHRNumber">
      <xsd:simpleType>
        <xsd:restriction base="dms:Text">
          <xsd:maxLength value="255"/>
        </xsd:restriction>
      </xsd:simpleType>
    </xsd:element>
    <xsd:element name="DocuWise.TestNumber" ma:index="20" nillable="true" ma:displayName="Afprøvningsnummer" ma:internalName="DocuWise_x002e_TestNumber">
      <xsd:simpleType>
        <xsd:restriction base="dms:Text">
          <xsd:maxLength value="255"/>
        </xsd:restriction>
      </xsd:simpleType>
    </xsd:element>
    <xsd:element name="Docuwise.Number" ma:index="21" nillable="true" ma:displayName="Number" ma:decimals="0" ma:internalName="DocuWise_x002e_Number" ma:readOnly="false" ma:percentage="FALSE">
      <xsd:simpleType>
        <xsd:restriction base="dms:Number"/>
      </xsd:simpleType>
    </xsd:element>
    <xsd:element name="DocuWise.CaseWorker" ma:index="22" nillable="true" ma:displayName="Sagsbehandler" ma:list="UserInfo" ma:internalName="DocuWise_x002e_CaseWorker" ma:showField="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Wise.Legacy.CreatedByName" ma:index="23" nillable="true" ma:displayName="DW Oprettet af navn" ma:internalName="Docuwise_x002e_Legacy_x002e_CreatedByName">
      <xsd:simpleType>
        <xsd:restriction base="dms:Text">
          <xsd:maxLength value="255"/>
        </xsd:restriction>
      </xsd:simpleType>
    </xsd:element>
    <xsd:element name="DocuWise.Legacy.CreatedByEmail" ma:index="24" nillable="true" ma:displayName="DW Oprettet af emailadresse" ma:internalName="Docuwise_x002e_Legacy_x002e_CreatedByEmail">
      <xsd:simpleType>
        <xsd:restriction base="dms:Text">
          <xsd:maxLength value="255"/>
        </xsd:restriction>
      </xsd:simpleType>
    </xsd:element>
    <xsd:element name="DocuWise.Legacy.CaseWorkerName" ma:index="25" nillable="true" ma:displayName="DW Sagsbehandler navn" ma:internalName="Docuwise_x002e_Legacy_x002e_CaseWorkerName">
      <xsd:simpleType>
        <xsd:restriction base="dms:Text">
          <xsd:maxLength value="255"/>
        </xsd:restriction>
      </xsd:simpleType>
    </xsd:element>
    <xsd:element name="DocuWise.Legacy.CaseWorkerEmail" ma:index="26" nillable="true" ma:displayName="DW Sagsbehandler emailadresse" ma:internalName="Docuwise_x002e_Legacy_x002e_CaseWorkerEmail">
      <xsd:simpleType>
        <xsd:restriction base="dms:Text">
          <xsd:maxLength value="255"/>
        </xsd:restriction>
      </xsd:simpleType>
    </xsd:element>
    <xsd:element name="DocuWise.Legacy.Department" ma:index="27" nillable="true" ma:displayName="DW Afdeling" ma:internalName="Docuwise_x002e_Legacy_x002e_Departm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205d42-89eb-43c3-ae46-3fd3b7e1c958" elementFormDefault="qualified">
    <xsd:import namespace="http://schemas.microsoft.com/office/2006/documentManagement/types"/>
    <xsd:import namespace="http://schemas.microsoft.com/office/infopath/2007/PartnerControls"/>
    <xsd:element name="_dlc_DocId" ma:index="28" nillable="true" ma:displayName="Værdi for dokument-id" ma:description="Værdien af det dokument-id, der er tildelt dette element." ma:internalName="_dlc_DocId" ma:readOnly="true">
      <xsd:simpleType>
        <xsd:restriction base="dms:Text"/>
      </xsd:simpleType>
    </xsd:element>
    <xsd:element name="_dlc_DocIdUrl" ma:index="29" nillable="true" ma:displayName="Dokument-id" ma:description="Permanent link til dette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displayName="Titel"/>
        <xsd:element ref="dc:subject" minOccurs="0" maxOccurs="1" ma:index="8" ma:displayName="Emne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Wise.Language xmlns="f01e8204-c9c5-4b3a-ae89-76efb91ee6dd" xsi:nil="true"/>
    <DocuWise.Project xmlns="f01e8204-c9c5-4b3a-ae89-76efb91ee6dd" xsi:nil="true"/>
    <DocuWise.Type xmlns="f01e8204-c9c5-4b3a-ae89-76efb91ee6dd" xsi:nil="true"/>
    <DocuWise.Person xmlns="f01e8204-c9c5-4b3a-ae89-76efb91ee6dd">Per Tybirk</DocuWise.Person>
    <DocuWise.PersonText xmlns="f01e8204-c9c5-4b3a-ae89-76efb91ee6dd" xsi:nil="true"/>
    <DocuWise.Received xmlns="f01e8204-c9c5-4b3a-ae89-76efb91ee6dd">false</DocuWise.Received>
    <DocuWise.Ended xmlns="f01e8204-c9c5-4b3a-ae89-76efb91ee6dd">false</DocuWise.Ended>
    <DocuWise.Legacy.Department xmlns="f01e8204-c9c5-4b3a-ae89-76efb91ee6dd" xsi:nil="true"/>
    <DocuWise.CompanyText xmlns="f01e8204-c9c5-4b3a-ae89-76efb91ee6dd" xsi:nil="true"/>
    <DocuWise.Legacy.CreatedByEmail xmlns="f01e8204-c9c5-4b3a-ae89-76efb91ee6dd" xsi:nil="true"/>
    <Docuwise.Number xmlns="f01e8204-c9c5-4b3a-ae89-76efb91ee6dd" xsi:nil="true"/>
    <DocuWise.CaseWorker xmlns="f01e8204-c9c5-4b3a-ae89-76efb91ee6dd">
      <UserInfo>
        <DisplayName/>
        <AccountId xsi:nil="true"/>
        <AccountType/>
      </UserInfo>
    </DocuWise.CaseWorker>
    <DocuWise.Legacy.CaseWorkerEmail xmlns="f01e8204-c9c5-4b3a-ae89-76efb91ee6dd">p</DocuWise.Legacy.CaseWorkerEmail>
    <DocuWise.CHRNumber xmlns="f01e8204-c9c5-4b3a-ae89-76efb91ee6dd" xsi:nil="true"/>
    <DocuWise.Legacy.CreatedByName xmlns="f01e8204-c9c5-4b3a-ae89-76efb91ee6dd" xsi:nil="true"/>
    <DocuWise.Legacy.CaseWorkerName xmlns="f01e8204-c9c5-4b3a-ae89-76efb91ee6dd" xsi:nil="true"/>
    <DocuWise.TestNumber xmlns="f01e8204-c9c5-4b3a-ae89-76efb91ee6dd" xsi:nil="true"/>
    <DocuWise.Company xmlns="f01e8204-c9c5-4b3a-ae89-76efb91ee6dd" xsi:nil="true"/>
    <DocuWise.JobDescription xmlns="f01e8204-c9c5-4b3a-ae89-76efb91ee6dd" xsi:nil="true"/>
    <_dlc_DocId xmlns="95205d42-89eb-43c3-ae46-3fd3b7e1c958">LFID-1826907953-85004</_dlc_DocId>
    <_dlc_DocIdUrl xmlns="95205d42-89eb-43c3-ae46-3fd3b7e1c958">
      <Url>http://lf-dokumenter/vsp/vspaktivteter/_layouts/DocIdRedir.aspx?ID=LFID-1826907953-85004</Url>
      <Description>LFID-1826907953-85004</Description>
    </_dlc_DocIdUrl>
  </documentManagement>
</p:properties>
</file>

<file path=customXml/itemProps1.xml><?xml version="1.0" encoding="utf-8"?>
<ds:datastoreItem xmlns:ds="http://schemas.openxmlformats.org/officeDocument/2006/customXml" ds:itemID="{38EE37E7-4559-40DF-B915-B7C027AE91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E8B3EB-0716-46C4-9031-DD7BF5001F4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DDF5582-0A17-433D-870E-0E19EA58C9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1e8204-c9c5-4b3a-ae89-76efb91ee6dd"/>
    <ds:schemaRef ds:uri="95205d42-89eb-43c3-ae46-3fd3b7e1c9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A368AE4-C68D-4BBC-9C1F-148F32244F48}">
  <ds:schemaRefs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95205d42-89eb-43c3-ae46-3fd3b7e1c958"/>
    <ds:schemaRef ds:uri="f01e8204-c9c5-4b3a-ae89-76efb91ee6dd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harmoni, inddatering + udskrift</vt:lpstr>
      <vt:lpstr>beregninger med detaljer</vt:lpstr>
    </vt:vector>
  </TitlesOfParts>
  <Company>LF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Tybirk</dc:creator>
  <cp:lastModifiedBy>Dorthe Sigrúnsdóttir Jensen</cp:lastModifiedBy>
  <cp:lastPrinted>2018-10-02T08:46:58Z</cp:lastPrinted>
  <dcterms:created xsi:type="dcterms:W3CDTF">2015-02-24T13:53:46Z</dcterms:created>
  <dcterms:modified xsi:type="dcterms:W3CDTF">2018-10-23T11:08:25Z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0x01010039AECF0C0DF042669F1227F4A133879E0100C463F228579D7B40BC7AC9090504053D</vt:lpwstr>
  </property>
  <property fmtid="{D5CDD505-2E9C-101B-9397-08002B2CF9AE}" pid="3" name="_dlc_DocIdItemGuid">
    <vt:lpwstr>f34ed29e-9aa7-4933-b136-d718d1c26e4e</vt:lpwstr>
  </property>
</Properties>
</file>